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C:\Users\judstuen\Downloads\"/>
    </mc:Choice>
  </mc:AlternateContent>
  <bookViews>
    <workbookView xWindow="9075" yWindow="0" windowWidth="17880" windowHeight="8175" tabRatio="930" firstSheet="4" activeTab="1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F23" i="76" l="1"/>
  <c r="F34" i="76"/>
  <c r="F44" i="76"/>
  <c r="F47" i="76"/>
  <c r="F49" i="76"/>
  <c r="F51" i="76"/>
  <c r="P14" i="70"/>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F5402" i="87" a="1"/>
  <c r="F7446" i="87" a="1"/>
  <c r="F7591" i="87" a="1"/>
  <c r="F5370" i="87" a="1"/>
  <c r="F6816" i="87" a="1"/>
  <c r="F7725" i="87" a="1"/>
  <c r="F7592" i="87" a="1"/>
  <c r="F7410" i="87" a="1"/>
  <c r="F7721" i="87" a="1"/>
  <c r="F5097" i="87" a="1"/>
  <c r="F5054" i="87" a="1"/>
  <c r="F3174" i="87" a="1"/>
  <c r="F7587" i="87" a="1"/>
  <c r="F6233" i="87" a="1"/>
  <c r="F5463" i="87" a="1"/>
  <c r="F6719" i="87" a="1"/>
  <c r="F723" i="87" a="1"/>
  <c r="F830" i="87" a="1"/>
  <c r="F6483" i="87" a="1"/>
  <c r="F5062" i="87" a="1"/>
  <c r="F7438" i="87" a="1"/>
  <c r="F3314" i="87" a="1"/>
  <c r="F7448" i="87" a="1"/>
  <c r="F5108" i="87" a="1"/>
  <c r="F20" i="87" a="1"/>
  <c r="F6874" i="87" a="1"/>
  <c r="F6145" i="87" a="1"/>
  <c r="F7024" i="87" a="1"/>
  <c r="F5043" i="87" a="1"/>
  <c r="F88" i="87" a="1"/>
  <c r="F5049" i="87" a="1"/>
  <c r="F6240" i="87" a="1"/>
  <c r="F3" i="87" a="1"/>
  <c r="F6822" i="87" a="1"/>
  <c r="F5048" i="87" a="1"/>
  <c r="F1472" i="87" a="1"/>
  <c r="F7745" i="87" a="1"/>
  <c r="F4390" i="87" a="1"/>
  <c r="F7327" i="87" a="1"/>
  <c r="F4325" i="87" a="1"/>
  <c r="F6933" i="87" a="1"/>
  <c r="F7545" i="87" a="1"/>
  <c r="F6946" i="87" a="1"/>
  <c r="F7036" i="87" a="1"/>
  <c r="F6475" i="87" a="1"/>
  <c r="F4018" i="87" a="1"/>
  <c r="F915" i="87" a="1"/>
  <c r="F1" i="87" a="1"/>
  <c r="F4323" i="87" a="1"/>
  <c r="F6857" i="87" a="1"/>
  <c r="F6033" i="87" a="1"/>
  <c r="F6691" i="87" a="1"/>
  <c r="F6277" i="87" a="1"/>
  <c r="F6688" i="87" a="1"/>
  <c r="F5521" i="87" a="1"/>
  <c r="F4271" i="87" a="1"/>
  <c r="F6766" i="87" a="1"/>
  <c r="F5679" i="87" a="1"/>
  <c r="F1291" i="87" a="1"/>
  <c r="F2773" i="87" a="1"/>
  <c r="F3029" i="87" a="1"/>
  <c r="F7609" i="87" a="1"/>
  <c r="F6489" i="87" a="1"/>
  <c r="F6327" i="87" a="1"/>
  <c r="F6189" i="87" a="1"/>
  <c r="F3003" i="87" a="1"/>
  <c r="F6824" i="87" a="1"/>
  <c r="F6405" i="87" a="1"/>
  <c r="F930" i="87" a="1"/>
  <c r="F4279" i="87" a="1"/>
  <c r="F4737" i="87" a="1"/>
  <c r="F6404" i="87" a="1"/>
  <c r="F6249" i="87" a="1"/>
  <c r="F6894" i="87" a="1"/>
  <c r="F6905" i="87" a="1"/>
  <c r="F6791" i="87" a="1"/>
  <c r="F6123" i="87" a="1"/>
  <c r="F6811" i="87" a="1"/>
  <c r="F690" i="87" a="1"/>
  <c r="F5640" i="87" a="1"/>
  <c r="F956" i="87" a="1"/>
  <c r="F6961" i="87" a="1"/>
  <c r="F6263" i="87" a="1"/>
  <c r="F6137" i="87" a="1"/>
  <c r="F6810" i="87" a="1"/>
  <c r="F1198" i="87" a="1"/>
  <c r="F6399" i="87" a="1"/>
  <c r="F5652" i="87" a="1"/>
  <c r="F1288" i="87" a="1"/>
  <c r="F83" i="87" a="1"/>
  <c r="F6974" i="87" a="1"/>
  <c r="F1561" i="87" a="1"/>
  <c r="F5383" i="87" a="1"/>
  <c r="F6833" i="87" a="1"/>
  <c r="F7330" i="87" a="1"/>
  <c r="F57" i="87" a="1"/>
  <c r="F6412" i="87" a="1"/>
  <c r="F7586" i="87" a="1"/>
  <c r="F6805" i="87" a="1"/>
  <c r="F7860" i="87" a="1"/>
  <c r="F6211" i="87" a="1"/>
  <c r="F6981" i="87" a="1"/>
  <c r="F5504" i="87" a="1"/>
  <c r="F7005" i="87" a="1"/>
  <c r="F4255" i="87" a="1"/>
  <c r="F6485" i="87" a="1"/>
  <c r="F6328" i="87" a="1"/>
  <c r="F6375" i="87" a="1"/>
  <c r="F5032" i="87" a="1"/>
  <c r="F741" i="87" a="1"/>
  <c r="F7595" i="87" a="1"/>
  <c r="F2710" i="87" a="1"/>
  <c r="F4266" i="87" a="1"/>
  <c r="F6303" i="87" a="1"/>
  <c r="F7706" i="87" a="1"/>
  <c r="F6324" i="87" a="1"/>
  <c r="F6014" i="87" a="1"/>
  <c r="F6754" i="87" a="1"/>
  <c r="F5533" i="87" a="1"/>
  <c r="F5318" i="87" a="1"/>
  <c r="F7442" i="87" a="1"/>
  <c r="F7534" i="87" a="1"/>
  <c r="F6593" i="87" a="1"/>
  <c r="F4893" i="87" a="1"/>
  <c r="F7673" i="87" a="1"/>
  <c r="F6780" i="87" a="1"/>
  <c r="F6911" i="87" a="1"/>
  <c r="F6265" i="87" a="1"/>
  <c r="F5639" i="87" a="1"/>
  <c r="F7594" i="87" a="1"/>
  <c r="F6960" i="87" a="1"/>
  <c r="F5013" i="87" a="1"/>
  <c r="F6315" i="87" a="1"/>
  <c r="F6743" i="87" a="1"/>
  <c r="F6676" i="87" a="1"/>
  <c r="F917" i="87" a="1"/>
  <c r="F4833" i="87" a="1"/>
  <c r="F7584" i="87" a="1"/>
  <c r="F7589" i="87" a="1"/>
  <c r="F814" i="87" a="1"/>
  <c r="F6023" i="87" a="1"/>
  <c r="F6377" i="87" a="1"/>
  <c r="F6670" i="87" a="1"/>
  <c r="F7008" i="87" a="1"/>
  <c r="F7653" i="87" a="1"/>
  <c r="F7681" i="87" a="1"/>
  <c r="F1386" i="87" a="1"/>
  <c r="F6814" i="87" a="1"/>
  <c r="F6177" i="87" a="1"/>
  <c r="F4284" i="87" a="1"/>
  <c r="F5071" i="87" a="1"/>
  <c r="F6925" i="87" a="1"/>
  <c r="F7718" i="87" a="1"/>
  <c r="F7423" i="87" a="1"/>
  <c r="F6199" i="87" a="1"/>
  <c r="F743" i="87" a="1"/>
  <c r="F5140" i="87" a="1"/>
  <c r="F2935" i="87" a="1"/>
  <c r="F7499" i="87" a="1"/>
  <c r="F7526" i="87" a="1"/>
  <c r="F5442" i="87" a="1"/>
  <c r="F6927" i="87" a="1"/>
  <c r="F6627" i="87" a="1"/>
  <c r="F793" i="87" a="1"/>
  <c r="F5294" i="87" a="1"/>
  <c r="F5275" i="87" a="1"/>
  <c r="F5944" i="87" a="1"/>
  <c r="F5826" i="87" a="1"/>
  <c r="F5036" i="87" a="1"/>
  <c r="F4309" i="87" a="1"/>
  <c r="F782" i="87" a="1"/>
  <c r="F5499" i="87" a="1"/>
  <c r="F6188" i="87" a="1"/>
  <c r="F6020" i="87" a="1"/>
  <c r="F4265" i="87" a="1"/>
  <c r="F1187" i="87" a="1"/>
  <c r="F7663" i="87" a="1"/>
  <c r="F7615" i="87" a="1"/>
  <c r="F5743" i="87" a="1"/>
  <c r="F5026" i="87" a="1"/>
  <c r="F7342" i="87" a="1"/>
  <c r="F5406" i="87" a="1"/>
  <c r="F5670" i="87" a="1"/>
  <c r="F3363" i="87" a="1"/>
  <c r="F6384" i="87" a="1"/>
  <c r="F5077" i="87" a="1"/>
  <c r="F6622" i="87" a="1"/>
  <c r="F1340" i="87" a="1"/>
  <c r="F6144" i="87" a="1"/>
  <c r="F3434" i="87" a="1"/>
  <c r="F5553" i="87" a="1"/>
  <c r="F6232" i="87" a="1"/>
  <c r="F859" i="87" a="1"/>
  <c r="F7467" i="87" a="1"/>
  <c r="F728" i="87" a="1"/>
  <c r="F5516" i="87" a="1"/>
  <c r="F5254" i="87" a="1"/>
  <c r="F6301" i="87" a="1"/>
  <c r="F7486" i="87" a="1"/>
  <c r="F563" i="87" a="1"/>
  <c r="F5517" i="87" a="1"/>
  <c r="F5059" i="87" a="1"/>
  <c r="F6774" i="87" a="1"/>
  <c r="F6781" i="87" a="1"/>
  <c r="F6334" i="87" a="1"/>
  <c r="F6143" i="87" a="1"/>
  <c r="F649" i="87" a="1"/>
  <c r="F6080" i="87" a="1"/>
  <c r="F6019" i="87" a="1"/>
  <c r="F2756" i="87" a="1"/>
  <c r="F6079" i="87" a="1"/>
  <c r="F6980" i="87" a="1"/>
  <c r="F6368" i="87" a="1"/>
  <c r="F4060" i="87" a="1"/>
  <c r="F3599" i="87" a="1"/>
  <c r="F6632" i="87" a="1"/>
  <c r="F7746" i="87" a="1"/>
  <c r="F6702" i="87" a="1"/>
  <c r="F5873" i="87" a="1"/>
  <c r="F5261" i="87" a="1"/>
  <c r="F5998" i="87" a="1"/>
  <c r="F7542" i="87" a="1"/>
  <c r="F5302" i="87" a="1"/>
  <c r="F843" i="87" a="1"/>
  <c r="F6779" i="87" a="1"/>
  <c r="F6112" i="87" a="1"/>
  <c r="F692" i="87" a="1"/>
  <c r="F7674" i="87" a="1"/>
  <c r="F6768" i="87" a="1"/>
  <c r="F7031" i="87" a="1"/>
  <c r="F6817" i="87" a="1"/>
  <c r="F7032" i="87" a="1"/>
  <c r="F6288" i="87" a="1"/>
  <c r="F7022" i="87" a="1"/>
  <c r="F4808" i="87" a="1"/>
  <c r="F6760" i="87" a="1"/>
  <c r="F3355" i="87" a="1"/>
  <c r="F5707" i="87" a="1"/>
  <c r="F5684" i="87" a="1"/>
  <c r="F669" i="87" a="1"/>
  <c r="F6713" i="87" a="1"/>
  <c r="F4812" i="87" a="1"/>
  <c r="F6690" i="87" a="1"/>
  <c r="F7648" i="87" a="1"/>
  <c r="F6257" i="87" a="1"/>
  <c r="F6519" i="87" a="1"/>
  <c r="F5641" i="87" a="1"/>
  <c r="F966" i="87" a="1"/>
  <c r="F7605" i="87" a="1"/>
  <c r="F5009" i="87" a="1"/>
  <c r="F6841" i="87" a="1"/>
  <c r="F6898" i="87" a="1"/>
  <c r="F2664" i="87" a="1"/>
  <c r="F6194" i="87" a="1"/>
  <c r="F745" i="87" a="1"/>
  <c r="F3201" i="87" a="1"/>
  <c r="F3571" i="87" a="1"/>
  <c r="F7747" i="87" a="1"/>
  <c r="F7364" i="87" a="1"/>
  <c r="F7484" i="87" a="1"/>
  <c r="F5017" i="87" a="1"/>
  <c r="F800" i="87" a="1"/>
  <c r="F1352" i="87" a="1"/>
  <c r="F4020" i="87" a="1"/>
  <c r="F3436" i="87" a="1"/>
  <c r="F5016" i="87" a="1"/>
  <c r="F6378" i="87" a="1"/>
  <c r="F835" i="87" a="1"/>
  <c r="F6374" i="87" a="1"/>
  <c r="F901" i="87" a="1"/>
  <c r="F6355" i="87" a="1"/>
  <c r="F726" i="87" a="1"/>
  <c r="F5021" i="87" a="1"/>
  <c r="F1356" i="87" a="1"/>
  <c r="F6695" i="87" a="1"/>
  <c r="F6234" i="87" a="1"/>
  <c r="F1213" i="87" a="1"/>
  <c r="F2701" i="87" a="1"/>
  <c r="F6227" i="87" a="1"/>
  <c r="F740" i="87" a="1"/>
  <c r="F3361" i="87" a="1"/>
  <c r="F4254" i="87" a="1"/>
  <c r="F6018" i="87" a="1"/>
  <c r="F668" i="87" a="1"/>
  <c r="F1301" i="87" a="1"/>
  <c r="F5559" i="87" a="1"/>
  <c r="F1201" i="87" a="1"/>
  <c r="F6796" i="87" a="1"/>
  <c r="F5027" i="87" a="1"/>
  <c r="F6699" i="87" a="1"/>
  <c r="F6089" i="87" a="1"/>
  <c r="F7691" i="87" a="1"/>
  <c r="F7535" i="87" a="1"/>
  <c r="F6206" i="87" a="1"/>
  <c r="F661" i="87" a="1"/>
  <c r="F595" i="87" a="1"/>
  <c r="F7027" i="87" a="1"/>
  <c r="F6116" i="87" a="1"/>
  <c r="F6995" i="87" a="1"/>
  <c r="F7873" i="87" a="1"/>
  <c r="F6859" i="87" a="1"/>
  <c r="F5293" i="87" a="1"/>
  <c r="F5459" i="87" a="1"/>
  <c r="F7742" i="87" a="1"/>
  <c r="F7524" i="87" a="1"/>
  <c r="F854" i="87" a="1"/>
  <c r="F5503" i="87" a="1"/>
  <c r="F6024" i="87" a="1"/>
  <c r="F7539" i="87" a="1"/>
  <c r="F6100" i="87" a="1"/>
  <c r="F7683" i="87" a="1"/>
  <c r="F5453" i="87" a="1"/>
  <c r="F6242" i="87" a="1"/>
  <c r="F2746" i="87" a="1"/>
  <c r="F6090" i="87" a="1"/>
  <c r="F5535" i="87" a="1"/>
  <c r="F6828" i="87" a="1"/>
  <c r="F5687" i="87" a="1"/>
  <c r="F5192" i="87" a="1"/>
  <c r="F6032" i="87" a="1"/>
  <c r="F5384" i="87" a="1"/>
  <c r="F6210" i="87" a="1"/>
  <c r="F656" i="87" a="1"/>
  <c r="F7509" i="87" a="1"/>
  <c r="F6923" i="87" a="1"/>
  <c r="F772" i="87" a="1"/>
  <c r="F6840" i="87" a="1"/>
  <c r="F6835" i="87" a="1"/>
  <c r="F6002" i="87" a="1"/>
  <c r="F839" i="87" a="1"/>
  <c r="F6272" i="87" a="1"/>
  <c r="F4262" i="87" a="1"/>
  <c r="F5824" i="87" a="1"/>
  <c r="F5693" i="87" a="1"/>
  <c r="F5068" i="87" a="1"/>
  <c r="F4745" i="87" a="1"/>
  <c r="F7692" i="87" a="1"/>
  <c r="F7396" i="87" a="1"/>
  <c r="F6030" i="87" a="1"/>
  <c r="F5515" i="87" a="1"/>
  <c r="F6312" i="87" a="1"/>
  <c r="F5053" i="87" a="1"/>
  <c r="F5277" i="87" a="1"/>
  <c r="F916" i="87" a="1"/>
  <c r="F130" i="87" a="1"/>
  <c r="F3477" i="87" a="1"/>
  <c r="F4310" i="87" a="1"/>
  <c r="F6235" i="87" a="1"/>
  <c r="F4827" i="87" a="1"/>
  <c r="F4352" i="87" a="1"/>
  <c r="F6078" i="87" a="1"/>
  <c r="F6317" i="87" a="1"/>
  <c r="F4026" i="87" a="1"/>
  <c r="F1251" i="87" a="1"/>
  <c r="F2702" i="87" a="1"/>
  <c r="F7735" i="87" a="1"/>
  <c r="F7348" i="87" a="1"/>
  <c r="F6762" i="87" a="1"/>
  <c r="F6472" i="87" a="1"/>
  <c r="F7866" i="87" a="1"/>
  <c r="F5667" i="87" a="1"/>
  <c r="F6907" i="87" a="1"/>
  <c r="F1171" i="87" a="1"/>
  <c r="F777" i="87" a="1"/>
  <c r="F6314" i="87" a="1"/>
  <c r="F4314" i="87" a="1"/>
  <c r="F3575" i="87" a="1"/>
  <c r="F6947" i="87" a="1"/>
  <c r="F6641" i="87" a="1"/>
  <c r="F721" i="87" a="1"/>
  <c r="F7389" i="87" a="1"/>
  <c r="F6310" i="87" a="1"/>
  <c r="F6197" i="87" a="1"/>
  <c r="F5649" i="87" a="1"/>
  <c r="F2738" i="87" a="1"/>
  <c r="F6180" i="87" a="1"/>
  <c r="F4861" i="87" a="1"/>
  <c r="F7428" i="87" a="1"/>
  <c r="F2706" i="87" a="1"/>
  <c r="F5527" i="87" a="1"/>
  <c r="F6706" i="87" a="1"/>
  <c r="F7748" i="87" a="1"/>
  <c r="F858" i="87" a="1"/>
  <c r="F3429" i="87" a="1"/>
  <c r="F7555" i="87" a="1"/>
  <c r="F7514" i="87" a="1"/>
  <c r="F6626" i="87" a="1"/>
  <c r="F951" i="87" a="1"/>
  <c r="F6486" i="87" a="1"/>
  <c r="F7420" i="87" a="1"/>
  <c r="F1188" i="87" a="1"/>
  <c r="F6115" i="87" a="1"/>
  <c r="F5512" i="87" a="1"/>
  <c r="F6371" i="87" a="1"/>
  <c r="F3585" i="87" a="1"/>
  <c r="F834" i="87" a="1"/>
  <c r="F7699" i="87" a="1"/>
  <c r="F5023" i="87" a="1"/>
  <c r="F714" i="87" a="1"/>
  <c r="F7853" i="87" a="1"/>
  <c r="F964" i="87" a="1"/>
  <c r="F4308" i="87" a="1"/>
  <c r="F7345" i="87" a="1"/>
  <c r="F5937" i="87" a="1"/>
  <c r="F4889" i="87" a="1"/>
  <c r="F7422" i="87" a="1"/>
  <c r="F5096" i="87" a="1"/>
  <c r="F6307" i="87" a="1"/>
  <c r="F7437" i="87" a="1"/>
  <c r="F6629" i="87" a="1"/>
  <c r="F5328" i="87" a="1"/>
  <c r="F919" i="87" a="1"/>
  <c r="F7571" i="87" a="1"/>
  <c r="F6107" i="87" a="1"/>
  <c r="F6129" i="87" a="1"/>
  <c r="F6864" i="87" a="1"/>
  <c r="F6309" i="87" a="1"/>
  <c r="F1490" i="87" a="1"/>
  <c r="F6221" i="87" a="1"/>
  <c r="F7421" i="87" a="1"/>
  <c r="F5376" i="87" a="1"/>
  <c r="F7576" i="87" a="1"/>
  <c r="F5218" i="87" a="1"/>
  <c r="F7839" i="87" a="1"/>
  <c r="F7482" i="87" a="1"/>
  <c r="F5112" i="87" a="1"/>
  <c r="F3431" i="87" a="1"/>
  <c r="F4275" i="87" a="1"/>
  <c r="F5514" i="87" a="1"/>
  <c r="F836" i="87" a="1"/>
  <c r="F6063" i="87" a="1"/>
  <c r="F5011" i="87" a="1"/>
  <c r="F1260" i="87" a="1"/>
  <c r="F6839" i="87" a="1"/>
  <c r="F5312" i="87" a="1"/>
  <c r="F864" i="87" a="1"/>
  <c r="F5827" i="87" a="1"/>
  <c r="F4736" i="87" a="1"/>
  <c r="F7567" i="87" a="1"/>
  <c r="F6471" i="87" a="1"/>
  <c r="F1205" i="87" a="1"/>
  <c r="F6075" i="87" a="1"/>
  <c r="F1317" i="87" a="1"/>
  <c r="F14" i="87" a="1"/>
  <c r="F6953" i="87" a="1"/>
  <c r="F6895" i="87" a="1"/>
  <c r="F6297" i="87" a="1"/>
  <c r="F5035" i="87" a="1"/>
  <c r="F4303" i="87" a="1"/>
  <c r="F7629" i="87" a="1"/>
  <c r="F7867" i="87" a="1"/>
  <c r="F1298" i="87" a="1"/>
  <c r="F4746" i="87" a="1"/>
  <c r="F7657" i="87" a="1"/>
  <c r="F5279" i="87" a="1"/>
  <c r="F6200" i="87" a="1"/>
  <c r="F4273" i="87" a="1"/>
  <c r="F5183" i="87" a="1"/>
  <c r="F5185" i="87" a="1"/>
  <c r="F7463" i="87" a="1"/>
  <c r="F6952" i="87" a="1"/>
  <c r="F993" i="87" a="1"/>
  <c r="F2896" i="87" a="1"/>
  <c r="F695" i="87" a="1"/>
  <c r="F3197" i="87" a="1"/>
  <c r="F7395" i="87" a="1"/>
  <c r="F5509" i="87" a="1"/>
  <c r="F779" i="87" a="1"/>
  <c r="F6951" i="87" a="1"/>
  <c r="F4125" i="87" a="1"/>
  <c r="F5460" i="87" a="1"/>
  <c r="F6904" i="87" a="1"/>
  <c r="F6763" i="87" a="1"/>
  <c r="F6585" i="87" a="1"/>
  <c r="F7461" i="87" a="1"/>
  <c r="F7494" i="87" a="1"/>
  <c r="F7039" i="87" a="1"/>
  <c r="F4755" i="87" a="1"/>
  <c r="F5548" i="87" a="1"/>
  <c r="F6231" i="87" a="1"/>
  <c r="F6954" i="87" a="1"/>
  <c r="F1346" i="87" a="1"/>
  <c r="F4025" i="87" a="1"/>
  <c r="F6847" i="87" a="1"/>
  <c r="F7661" i="87" a="1"/>
  <c r="F6922" i="87" a="1"/>
  <c r="F6113" i="87" a="1"/>
  <c r="F6809" i="87" a="1"/>
  <c r="F5019" i="87" a="1"/>
  <c r="F5007" i="87" a="1"/>
  <c r="F6223" i="87" a="1"/>
  <c r="F1294" i="87" a="1"/>
  <c r="F6693" i="87" a="1"/>
  <c r="F7016" i="87" a="1"/>
  <c r="F6856" i="87" a="1"/>
  <c r="F4863" i="87" a="1"/>
  <c r="F7382" i="87" a="1"/>
  <c r="F3427" i="87" a="1"/>
  <c r="F5005" i="87" a="1"/>
  <c r="F108" i="87" a="1"/>
  <c r="F5815" i="87" a="1"/>
  <c r="F6302" i="87" a="1"/>
  <c r="F3522" i="87" a="1"/>
  <c r="F7684" i="87" a="1"/>
  <c r="F7871" i="87" a="1"/>
  <c r="F5033" i="87" a="1"/>
  <c r="F7606" i="87" a="1"/>
  <c r="F1484" i="87" a="1"/>
  <c r="F988" i="87" a="1"/>
  <c r="F6109" i="87" a="1"/>
  <c r="F693" i="87" a="1"/>
  <c r="F7863" i="87" a="1"/>
  <c r="F7328" i="87" a="1"/>
  <c r="F4278" i="87" a="1"/>
  <c r="F7433" i="87" a="1"/>
  <c r="F7849" i="87" a="1"/>
  <c r="F6213" i="87" a="1"/>
  <c r="F6708" i="87" a="1"/>
  <c r="F6684" i="87" a="1"/>
  <c r="F6675" i="87" a="1"/>
  <c r="F6103" i="87" a="1"/>
  <c r="F4285" i="87" a="1"/>
  <c r="F5274" i="87" a="1"/>
  <c r="F7702" i="87" a="1"/>
  <c r="F6092" i="87" a="1"/>
  <c r="F6906" i="87" a="1"/>
  <c r="F6205" i="87" a="1"/>
  <c r="F7033" i="87" a="1"/>
  <c r="F977" i="87" a="1"/>
  <c r="F674" i="87" a="1"/>
  <c r="F1374" i="87" a="1"/>
  <c r="F7628" i="87" a="1"/>
  <c r="F5765" i="87" a="1"/>
  <c r="F4145" i="87" a="1"/>
  <c r="F7407" i="87" a="1"/>
  <c r="F7018" i="87" a="1"/>
  <c r="F7490" i="87" a="1"/>
  <c r="F5671" i="87" a="1"/>
  <c r="F5177" i="87" a="1"/>
  <c r="F7450" i="87" a="1"/>
  <c r="F981" i="87" a="1"/>
  <c r="F7698" i="87" a="1"/>
  <c r="F969" i="87" a="1"/>
  <c r="F959" i="87" a="1"/>
  <c r="F1466" i="87" a="1"/>
  <c r="F6877" i="87" a="1"/>
  <c r="F7487" i="87" a="1"/>
  <c r="F7731" i="87" a="1"/>
  <c r="F6870" i="87" a="1"/>
  <c r="F6218" i="87" a="1"/>
  <c r="F7305" i="87" a="1"/>
  <c r="F708" i="87" a="1"/>
  <c r="F6875" i="87" a="1"/>
  <c r="F7472" i="87" a="1"/>
  <c r="F564" i="87" a="1"/>
  <c r="F5497" i="87" a="1"/>
  <c r="F4134" i="87" a="1"/>
  <c r="F6203" i="87" a="1"/>
  <c r="F3590" i="87" a="1"/>
  <c r="F4272" i="87" a="1"/>
  <c r="F7705" i="87" a="1"/>
  <c r="F6756" i="87" a="1"/>
  <c r="F4354" i="87" a="1"/>
  <c r="F6410" i="87" a="1"/>
  <c r="F7667" i="87" a="1"/>
  <c r="F6886" i="87" a="1"/>
  <c r="F267" i="87" a="1"/>
  <c r="F1254" i="87" a="1"/>
  <c r="F1382" i="87" a="1"/>
  <c r="F3521" i="87" a="1"/>
  <c r="F6752" i="87" a="1"/>
  <c r="F3561" i="87" a="1"/>
  <c r="F6074" i="87" a="1"/>
  <c r="F6744" i="87" a="1"/>
  <c r="F7336" i="87" a="1"/>
  <c r="F758" i="87" a="1"/>
  <c r="F6168" i="87" a="1"/>
  <c r="F6709" i="87" a="1"/>
  <c r="F7573" i="87" a="1"/>
  <c r="F6721" i="87" a="1"/>
  <c r="F6398" i="87" a="1"/>
  <c r="F6997" i="87" a="1"/>
  <c r="F6337" i="87" a="1"/>
  <c r="F6066" i="87" a="1"/>
  <c r="F7430" i="87" a="1"/>
  <c r="F4133" i="87" a="1"/>
  <c r="F3260" i="87" a="1"/>
  <c r="F5458" i="87" a="1"/>
  <c r="F7734" i="87" a="1"/>
  <c r="F6935" i="87" a="1"/>
  <c r="F672" i="87" a="1"/>
  <c r="F952" i="87" a="1"/>
  <c r="F846" i="87" a="1"/>
  <c r="F5025" i="87" a="1"/>
  <c r="F36" i="87" a="1"/>
  <c r="F6044" i="87" a="1"/>
  <c r="F3665" i="87" a="1"/>
  <c r="F6363" i="87" a="1"/>
  <c r="F6589" i="87" a="1"/>
  <c r="F7729" i="87" a="1"/>
  <c r="F4109" i="87" a="1"/>
  <c r="F5546" i="87" a="1"/>
  <c r="F904" i="87" a="1"/>
  <c r="F2898" i="87" a="1"/>
  <c r="F776" i="87" a="1"/>
  <c r="F985" i="87" a="1"/>
  <c r="F5942" i="87" a="1"/>
  <c r="F6855" i="87" a="1"/>
  <c r="F4888" i="87" a="1"/>
  <c r="F4359" i="87" a="1"/>
  <c r="F6359" i="87" a="1"/>
  <c r="F6685" i="87" a="1"/>
  <c r="F5473" i="87" a="1"/>
  <c r="F4276" i="87" a="1"/>
  <c r="F7728" i="87" a="1"/>
  <c r="F7368" i="87" a="1"/>
  <c r="F4059" i="87" a="1"/>
  <c r="F5138" i="87" a="1"/>
  <c r="F7361" i="87" a="1"/>
  <c r="F6473" i="87" a="1"/>
  <c r="F6782" i="87" a="1"/>
  <c r="F7689" i="87" a="1"/>
  <c r="F684" i="87" a="1"/>
  <c r="F6788" i="87" a="1"/>
  <c r="F924" i="87" a="1"/>
  <c r="F744" i="87" a="1"/>
  <c r="F7739" i="87" a="1"/>
  <c r="F6098" i="87" a="1"/>
  <c r="F4144" i="87" a="1"/>
  <c r="F6992" i="87" a="1"/>
  <c r="F7622" i="87" a="1"/>
  <c r="F7855" i="87" a="1"/>
  <c r="F679" i="87" a="1"/>
  <c r="F5666" i="87" a="1"/>
  <c r="F6972" i="87" a="1"/>
  <c r="F6376" i="87" a="1"/>
  <c r="F6202" i="87" a="1"/>
  <c r="F7455" i="87" a="1"/>
  <c r="F6908" i="87" a="1"/>
  <c r="F894" i="87" a="1"/>
  <c r="F6373" i="87" a="1"/>
  <c r="F980" i="87" a="1"/>
  <c r="F6091" i="87" a="1"/>
  <c r="F5513" i="87" a="1"/>
  <c r="F1353" i="87" a="1"/>
  <c r="F5223" i="87" a="1"/>
  <c r="F5037" i="87" a="1"/>
  <c r="F6820" i="87" a="1"/>
  <c r="F3195" i="87" a="1"/>
  <c r="F7533" i="87" a="1"/>
  <c r="F7619" i="87" a="1"/>
  <c r="F5525" i="87" a="1"/>
  <c r="F2716" i="87" a="1"/>
  <c r="F5831" i="87" a="1"/>
  <c r="F663" i="87" a="1"/>
  <c r="F5538" i="87" a="1"/>
  <c r="F7640" i="87" a="1"/>
  <c r="F5699" i="87" a="1"/>
  <c r="F3437" i="87" a="1"/>
  <c r="F5014" i="87" a="1"/>
  <c r="F7370" i="87" a="1"/>
  <c r="F7001" i="87" a="1"/>
  <c r="F6329" i="87" a="1"/>
  <c r="F6957" i="87" a="1"/>
  <c r="F2744" i="87" a="1"/>
  <c r="F4891" i="87" a="1"/>
  <c r="F4065" i="87" a="1"/>
  <c r="F751" i="87" a="1"/>
  <c r="F6826" i="87" a="1"/>
  <c r="F7600" i="87" a="1"/>
  <c r="F6630" i="87" a="1"/>
  <c r="F6229" i="87" a="1"/>
  <c r="F1168" i="87" a="1"/>
  <c r="F4705" i="87" a="1"/>
  <c r="F7034" i="87" a="1"/>
  <c r="F2792" i="87" a="1"/>
  <c r="F7030" i="87" a="1"/>
  <c r="F725" i="87" a="1"/>
  <c r="F6048" i="87" a="1"/>
  <c r="F7352" i="87" a="1"/>
  <c r="F7649" i="87" a="1"/>
  <c r="F7632" i="87" a="1"/>
  <c r="F1256" i="87" a="1"/>
  <c r="F7409" i="87" a="1"/>
  <c r="F765" i="87" a="1"/>
  <c r="F5941" i="87" a="1"/>
  <c r="F6843" i="87" a="1"/>
  <c r="F6295" i="87" a="1"/>
  <c r="F4809" i="87" a="1"/>
  <c r="F7358" i="87" a="1"/>
  <c r="F6937" i="87" a="1"/>
  <c r="F1315" i="87" a="1"/>
  <c r="F7561" i="87" a="1"/>
  <c r="F6869" i="87" a="1"/>
  <c r="F4957" i="87" a="1"/>
  <c r="F7427" i="87" a="1"/>
  <c r="F4019" i="87" a="1"/>
  <c r="F3475" i="87" a="1"/>
  <c r="F2925" i="87" a="1"/>
  <c r="F7029" i="87" a="1"/>
  <c r="F866" i="87" a="1"/>
  <c r="F6400" i="87" a="1"/>
  <c r="F677" i="87" a="1"/>
  <c r="F1391" i="87" a="1"/>
  <c r="F7439" i="87" a="1"/>
  <c r="F1377" i="87" a="1"/>
  <c r="F691" i="87" a="1"/>
  <c r="F869" i="87" a="1"/>
  <c r="F1359" i="87" a="1"/>
  <c r="F861" i="87" a="1"/>
  <c r="F7515" i="87" a="1"/>
  <c r="F6073" i="87" a="1"/>
  <c r="F6750" i="87" a="1"/>
  <c r="F783" i="87" a="1"/>
  <c r="F6912" i="87" a="1"/>
  <c r="F2899" i="87" a="1"/>
  <c r="F1362" i="87" a="1"/>
  <c r="F4715" i="87" a="1"/>
  <c r="F6034" i="87" a="1"/>
  <c r="F1381" i="87" a="1"/>
  <c r="F962" i="87" a="1"/>
  <c r="F6606" i="87" a="1"/>
  <c r="F6204" i="87" a="1"/>
  <c r="F7531" i="87" a="1"/>
  <c r="F7565" i="87" a="1"/>
  <c r="F4967" i="87" a="1"/>
  <c r="F7644" i="87" a="1"/>
  <c r="F7617" i="87" a="1"/>
  <c r="F6522" i="87" a="1"/>
  <c r="F6605" i="87" a="1"/>
  <c r="F7360" i="87" a="1"/>
  <c r="F7388" i="87" a="1"/>
  <c r="F718" i="87" a="1"/>
  <c r="F39" i="87" a="1"/>
  <c r="F7675" i="87" a="1"/>
  <c r="F6808" i="87" a="1"/>
  <c r="F1360" i="87" a="1"/>
  <c r="F6637" i="87" a="1"/>
  <c r="F5081" i="87" a="1"/>
  <c r="F680" i="87" a="1"/>
  <c r="F5816" i="87" a="1"/>
  <c r="F3647" i="87" a="1"/>
  <c r="F6278" i="87" a="1"/>
  <c r="F7672" i="87" a="1"/>
  <c r="F6887" i="87" a="1"/>
  <c r="F7558" i="87" a="1"/>
  <c r="F6361" i="87" a="1"/>
  <c r="F7847" i="87" a="1"/>
  <c r="F5804" i="87" a="1"/>
  <c r="F5742" i="87" a="1"/>
  <c r="F1370" i="87" a="1"/>
  <c r="F6931" i="87" a="1"/>
  <c r="F6777" i="87" a="1"/>
  <c r="F6338" i="87" a="1"/>
  <c r="F5301" i="87" a="1"/>
  <c r="F6105" i="87" a="1"/>
  <c r="F1195" i="87" a="1"/>
  <c r="F2741" i="87" a="1"/>
  <c r="F7744" i="87" a="1"/>
  <c r="F5028" i="87" a="1"/>
  <c r="F4312" i="87" a="1"/>
  <c r="F4027" i="87" a="1"/>
  <c r="F1209" i="87" a="1"/>
  <c r="F7026" i="87" a="1"/>
  <c r="F1631" i="87" a="1"/>
  <c r="F6710" i="87" a="1"/>
  <c r="F4353" i="87" a="1"/>
  <c r="F3582" i="87" a="1"/>
  <c r="F7010" i="87" a="1"/>
  <c r="F6214" i="87" a="1"/>
  <c r="F898" i="87" a="1"/>
  <c r="F974" i="87" a="1"/>
  <c r="F4028" i="87" a="1"/>
  <c r="F7435" i="87" a="1"/>
  <c r="F6902" i="87" a="1"/>
  <c r="F445" i="87" a="1"/>
  <c r="F5029" i="87" a="1"/>
  <c r="F3316" i="87" a="1"/>
  <c r="F7614" i="87" a="1"/>
  <c r="F6096" i="87" a="1"/>
  <c r="F7858" i="87" a="1"/>
  <c r="F6053" i="87" a="1"/>
  <c r="F5820" i="87" a="1"/>
  <c r="F6052" i="87" a="1"/>
  <c r="F6131" i="87" a="1"/>
  <c r="F900" i="87" a="1"/>
  <c r="F2" i="87" a="1"/>
  <c r="F6944" i="87" a="1"/>
  <c r="F7457" i="87" a="1"/>
  <c r="F7590" i="87" a="1"/>
  <c r="F5761" i="87" a="1"/>
  <c r="F5985" i="87" a="1"/>
  <c r="F6711" i="87" a="1"/>
  <c r="F4758" i="87" a="1"/>
  <c r="F5168" i="87" a="1"/>
  <c r="F6097" i="87" a="1"/>
  <c r="F6609" i="87" a="1"/>
  <c r="F687" i="87" a="1"/>
  <c r="F5368" i="87" a="1"/>
  <c r="F7709" i="87" a="1"/>
  <c r="F1206" i="87" a="1"/>
  <c r="F960" i="87" a="1"/>
  <c r="F6251" i="87" a="1"/>
  <c r="F6525" i="87" a="1"/>
  <c r="F6971" i="87" a="1"/>
  <c r="F5222" i="87" a="1"/>
  <c r="F7406" i="87" a="1"/>
  <c r="F7481" i="87" a="1"/>
  <c r="F7870" i="87" a="1"/>
  <c r="F5050" i="87" a="1"/>
  <c r="F7378" i="87" a="1"/>
  <c r="F5518" i="87" a="1"/>
  <c r="F2939" i="87" a="1"/>
  <c r="F4277" i="87" a="1"/>
  <c r="F2936" i="87" a="1"/>
  <c r="F6928" i="87" a="1"/>
  <c r="F6929" i="87" a="1"/>
  <c r="F7216" i="87" a="1"/>
  <c r="F5938" i="87" a="1"/>
  <c r="F2743" i="87" a="1"/>
  <c r="F7869" i="87" a="1"/>
  <c r="F6357" i="87" a="1"/>
  <c r="F6026" i="87" a="1"/>
  <c r="F5119" i="87" a="1"/>
  <c r="F902" i="87" a="1"/>
  <c r="F3568" i="87" a="1"/>
  <c r="F872" i="87" a="1"/>
  <c r="F6179" i="87" a="1"/>
  <c r="F6715" i="87" a="1"/>
  <c r="F6241" i="87" a="1"/>
  <c r="F1463" i="87" a="1"/>
  <c r="F597" i="87" a="1"/>
  <c r="F6275" i="87" a="1"/>
  <c r="F1165" i="87" a="1"/>
  <c r="F4362" i="87" a="1"/>
  <c r="F7568" i="87" a="1"/>
  <c r="F6692" i="87" a="1"/>
  <c r="F7508" i="87" a="1"/>
  <c r="F4864" i="87" a="1"/>
  <c r="F7465" i="87" a="1"/>
  <c r="F7372" i="87" a="1"/>
  <c r="F4135" i="87" a="1"/>
  <c r="F7569" i="87" a="1"/>
  <c r="F6918" i="87" a="1"/>
  <c r="F4859" i="87" a="1"/>
  <c r="F5058" i="87" a="1"/>
  <c r="F6083" i="87" a="1"/>
  <c r="F1363" i="87" a="1"/>
  <c r="F6426" i="87" a="1"/>
  <c r="F1373" i="87" a="1"/>
  <c r="F6082" i="87" a="1"/>
  <c r="F5767" i="87" a="1"/>
  <c r="F6153" i="87" a="1"/>
  <c r="F6696" i="87" a="1"/>
  <c r="F5086" i="87" a="1"/>
  <c r="F2784" i="87" a="1"/>
  <c r="F2923" i="87" a="1"/>
  <c r="F5544" i="87" a="1"/>
  <c r="F7374" i="87" a="1"/>
  <c r="F6794" i="87" a="1"/>
  <c r="F6888" i="87" a="1"/>
  <c r="F3004" i="87" a="1"/>
  <c r="F7357" i="87" a="1"/>
  <c r="F6011" i="87" a="1"/>
  <c r="F673" i="87" a="1"/>
  <c r="F5676" i="87" a="1"/>
  <c r="F2761" i="87" a="1"/>
  <c r="F6790" i="87" a="1"/>
  <c r="F7563" i="87" a="1"/>
  <c r="F6059" i="87" a="1"/>
  <c r="F7519" i="87" a="1"/>
  <c r="F6523" i="87" a="1"/>
  <c r="F6212" i="87" a="1"/>
  <c r="F5520" i="87" a="1"/>
  <c r="F7859" i="87" a="1"/>
  <c r="F727" i="87" a="1"/>
  <c r="F906" i="87" a="1"/>
  <c r="F3490" i="87" a="1"/>
  <c r="F7502" i="87" a="1"/>
  <c r="F1475" i="87" a="1"/>
  <c r="F4290" i="87" a="1"/>
  <c r="F6323" i="87" a="1"/>
  <c r="F62" i="87" a="1"/>
  <c r="F5461" i="87" a="1"/>
  <c r="F4143" i="87" a="1"/>
  <c r="F5608" i="87" a="1"/>
  <c r="F3476" i="87" a="1"/>
  <c r="F5766" i="87" a="1"/>
  <c r="F1214" i="87" a="1"/>
  <c r="F6718" i="87" a="1"/>
  <c r="F6838" i="87" a="1"/>
  <c r="F6727" i="87" a="1"/>
  <c r="F7642" i="87" a="1"/>
  <c r="F784" i="87" a="1"/>
  <c r="F70" i="87" a="1"/>
  <c r="F7638" i="87" a="1"/>
  <c r="F4305" i="87" a="1"/>
  <c r="F43" i="87" a="1"/>
  <c r="F4748" i="87" a="1"/>
  <c r="F7302" i="87" a="1"/>
  <c r="F992" i="87" a="1"/>
  <c r="F4124" i="87" a="1"/>
  <c r="F7540" i="87" a="1"/>
  <c r="F3000" i="87" a="1"/>
  <c r="F6520" i="87" a="1"/>
  <c r="F7737" i="87" a="1"/>
  <c r="F2771" i="87" a="1"/>
  <c r="F4860" i="87" a="1"/>
  <c r="F6984" i="87" a="1"/>
  <c r="F6804" i="87" a="1"/>
  <c r="F6219" i="87" a="1"/>
  <c r="F7537" i="87" a="1"/>
  <c r="F7710" i="87" a="1"/>
  <c r="F6915" i="87" a="1"/>
  <c r="F5561" i="87" a="1"/>
  <c r="F5288" i="87" a="1"/>
  <c r="F6293" i="87" a="1"/>
  <c r="F376" i="87" a="1"/>
  <c r="F6701" i="87" a="1"/>
  <c r="F2933" i="87" a="1"/>
  <c r="F6037" i="87" a="1"/>
  <c r="F6988" i="87" a="1"/>
  <c r="F5055" i="87" a="1"/>
  <c r="F6207" i="87" a="1"/>
  <c r="F4253" i="87" a="1"/>
  <c r="F7390" i="87" a="1"/>
  <c r="F923" i="87" a="1"/>
  <c r="F7723" i="87" a="1"/>
  <c r="F7575" i="87" a="1"/>
  <c r="F6013" i="87" a="1"/>
  <c r="F7391" i="87" a="1"/>
  <c r="F4750" i="87" a="1"/>
  <c r="F6669" i="87" a="1"/>
  <c r="F6978" i="87" a="1"/>
  <c r="F4892" i="87" a="1"/>
  <c r="F3002" i="87" a="1"/>
  <c r="F3428" i="87" a="1"/>
  <c r="F6245" i="87" a="1"/>
  <c r="F7496" i="87" a="1"/>
  <c r="F2707" i="87" a="1"/>
  <c r="F7562" i="87" a="1"/>
  <c r="F7480" i="87" a="1"/>
  <c r="F6128" i="87" a="1"/>
  <c r="F5464" i="87" a="1"/>
  <c r="F6850" i="87" a="1"/>
  <c r="F7365" i="87" a="1"/>
  <c r="F2904" i="87" a="1"/>
  <c r="F7449" i="87" a="1"/>
  <c r="F3646" i="87" a="1"/>
  <c r="F2735" i="87" a="1"/>
  <c r="F7578" i="87" a="1"/>
  <c r="F1192" i="87" a="1"/>
  <c r="F4302" i="87" a="1"/>
  <c r="F4299" i="87" a="1"/>
  <c r="F685" i="87" a="1"/>
  <c r="F6038" i="87" a="1"/>
  <c r="F6294" i="87" a="1"/>
  <c r="F6285" i="87" a="1"/>
  <c r="F3371" i="87" a="1"/>
  <c r="F4796" i="87" a="1"/>
  <c r="F2938" i="87" a="1"/>
  <c r="F4297" i="87" a="1"/>
  <c r="F4261" i="87" a="1"/>
  <c r="F6786" i="87" a="1"/>
  <c r="F7713" i="87" a="1"/>
  <c r="F823" i="87" a="1"/>
  <c r="F4337" i="87" a="1"/>
  <c r="F6697" i="87" a="1"/>
  <c r="F6025" i="87" a="1"/>
  <c r="F850" i="87" a="1"/>
  <c r="F7580" i="87" a="1"/>
  <c r="F3318" i="87" a="1"/>
  <c r="F6147" i="87" a="1"/>
  <c r="F6058" i="87" a="1"/>
  <c r="F7367" i="87" a="1"/>
  <c r="F4338" i="87" a="1"/>
  <c r="F1313" i="87" a="1"/>
  <c r="F7598" i="87" a="1"/>
  <c r="F7596" i="87" a="1"/>
  <c r="F7380" i="87" a="1"/>
  <c r="F5932" i="87" a="1"/>
  <c r="F6290" i="87" a="1"/>
  <c r="F3311" i="87" a="1"/>
  <c r="F7035" i="87" a="1"/>
  <c r="F6738" i="87" a="1"/>
  <c r="F6812" i="87" a="1"/>
  <c r="F2999" i="87" a="1"/>
  <c r="F5864" i="87" a="1"/>
  <c r="F5366" i="87" a="1"/>
  <c r="F6893" i="87" a="1"/>
  <c r="F7846" i="87" a="1"/>
  <c r="F5256" i="87" a="1"/>
  <c r="F5502" i="87" a="1"/>
  <c r="F5408" i="87" a="1"/>
  <c r="F6462" i="87" a="1"/>
  <c r="F6088" i="87" a="1"/>
  <c r="F5990" i="87" a="1"/>
  <c r="F3217" i="87" a="1"/>
  <c r="F7488" i="87" a="1"/>
  <c r="F6854" i="87" a="1"/>
  <c r="F7662" i="87" a="1"/>
  <c r="F6955" i="87" a="1"/>
  <c r="F4259" i="87" a="1"/>
  <c r="F7872" i="87" a="1"/>
  <c r="F7620" i="87" a="1"/>
  <c r="F6583" i="87" a="1"/>
  <c r="F7851" i="87" a="1"/>
  <c r="F7707" i="87" a="1"/>
  <c r="F7538" i="87" a="1"/>
  <c r="F3023" i="87" a="1"/>
  <c r="F6322" i="87" a="1"/>
  <c r="F6977" i="87" a="1"/>
  <c r="F7686" i="87" a="1"/>
  <c r="F4364" i="87" a="1"/>
  <c r="F6047" i="87" a="1"/>
  <c r="F6712" i="87" a="1"/>
  <c r="F6724" i="87" a="1"/>
  <c r="F2897" i="87" a="1"/>
  <c r="F5290" i="87" a="1"/>
  <c r="F2940" i="87" a="1"/>
  <c r="F2666" i="87" a="1"/>
  <c r="F3527" i="87" a="1"/>
  <c r="F7473" i="87" a="1"/>
  <c r="F6885" i="87" a="1"/>
  <c r="F7722" i="87" a="1"/>
  <c r="F6775" i="87" a="1"/>
  <c r="F6243" i="87" a="1"/>
  <c r="F2895" i="87" a="1"/>
  <c r="F155" i="87" a="1"/>
  <c r="F7550" i="87" a="1"/>
  <c r="F6281" i="87" a="1"/>
  <c r="F3022" i="87" a="1"/>
  <c r="F4154" i="87" a="1"/>
  <c r="F6973" i="87" a="1"/>
  <c r="F950" i="87" a="1"/>
  <c r="F7607" i="87" a="1"/>
  <c r="F157" i="87" a="1"/>
  <c r="F972" i="87" a="1"/>
  <c r="F4061" i="87" a="1"/>
  <c r="F7375" i="87" a="1"/>
  <c r="F6408" i="87" a="1"/>
  <c r="F799" i="87" a="1"/>
  <c r="F6700" i="87" a="1"/>
  <c r="F6945" i="87" a="1"/>
  <c r="F5079" i="87" a="1"/>
  <c r="F2752" i="87" a="1"/>
  <c r="F5276" i="87" a="1"/>
  <c r="F5571" i="87" a="1"/>
  <c r="F7652" i="87" a="1"/>
  <c r="F749" i="87" a="1"/>
  <c r="F750" i="87" a="1"/>
  <c r="F2662" i="87" a="1"/>
  <c r="F932" i="87" a="1"/>
  <c r="F5375" i="87" a="1"/>
  <c r="F7403" i="87" a="1"/>
  <c r="F7441" i="87" a="1"/>
  <c r="F68" i="87" a="1"/>
  <c r="F6216" i="87" a="1"/>
  <c r="F7516" i="87" a="1"/>
  <c r="F5528" i="87" a="1"/>
  <c r="F1575" i="87" a="1"/>
  <c r="F7386" i="87" a="1"/>
  <c r="F7366" i="87" a="1"/>
  <c r="F7384" i="87" a="1"/>
  <c r="F803" i="87" a="1"/>
  <c r="F7362" i="87" a="1"/>
  <c r="F74" i="87" a="1"/>
  <c r="F4057" i="87" a="1"/>
  <c r="F6119" i="87" a="1"/>
  <c r="F6093" i="87" a="1"/>
  <c r="F4361" i="87" a="1"/>
  <c r="F6121" i="87" a="1"/>
  <c r="F5933" i="87" a="1"/>
  <c r="F3576" i="87" a="1"/>
  <c r="F2944" i="87" a="1"/>
  <c r="F5004" i="87" a="1"/>
  <c r="F912" i="87" a="1"/>
  <c r="F5045" i="87" a="1"/>
  <c r="F5788" i="87" a="1"/>
  <c r="F3562" i="87" a="1"/>
  <c r="F4283" i="87" a="1"/>
  <c r="F5866" i="87" a="1"/>
  <c r="F7635" i="87" a="1"/>
  <c r="F4826" i="87" a="1"/>
  <c r="F5828" i="87" a="1"/>
  <c r="F6365" i="87" a="1"/>
  <c r="F6878" i="87" a="1"/>
  <c r="F2770" i="87" a="1"/>
  <c r="F7868" i="87" a="1"/>
  <c r="F6767" i="87" a="1"/>
  <c r="F7354" i="87" a="1"/>
  <c r="F6104" i="87" a="1"/>
  <c r="F7513" i="87" a="1"/>
  <c r="F5537" i="87" a="1"/>
  <c r="F5186" i="87" a="1"/>
  <c r="F7355" i="87" a="1"/>
  <c r="F6678" i="87" a="1"/>
  <c r="F7732" i="87" a="1"/>
  <c r="F927" i="87" a="1"/>
  <c r="F6827" i="87" a="1"/>
  <c r="F806" i="87" a="1"/>
  <c r="F6146" i="87" a="1"/>
  <c r="F4257" i="87" a="1"/>
  <c r="F6077" i="87" a="1"/>
  <c r="F7654" i="87" a="1"/>
  <c r="F6140" i="87" a="1"/>
  <c r="F7560" i="87" a="1"/>
  <c r="F6117" i="87" a="1"/>
  <c r="F6943" i="87" a="1"/>
  <c r="F6745" i="87" a="1"/>
  <c r="F3596" i="87" a="1"/>
  <c r="F660" i="87" a="1"/>
  <c r="F6150" i="87" a="1"/>
  <c r="F7479" i="87" a="1"/>
  <c r="F6934" i="87" a="1"/>
  <c r="F7381" i="87" a="1"/>
  <c r="F5067" i="87" a="1"/>
  <c r="F7574" i="87" a="1"/>
  <c r="F6111" i="87" a="1"/>
  <c r="F786" i="87" a="1"/>
  <c r="F895" i="87" a="1"/>
  <c r="F6842" i="87" a="1"/>
  <c r="F159" i="87" a="1"/>
  <c r="F2768" i="87" a="1"/>
  <c r="F26" i="87" a="1"/>
  <c r="F6217" i="87" a="1"/>
  <c r="F4829" i="87" a="1"/>
  <c r="F6982" i="87" a="1"/>
  <c r="F841" i="87" a="1"/>
  <c r="F7626" i="87" a="1"/>
  <c r="F7483" i="87" a="1"/>
  <c r="F6036" i="87" a="1"/>
  <c r="F7028" i="87" a="1"/>
  <c r="F7715" i="87" a="1"/>
  <c r="F1310" i="87" a="1"/>
  <c r="F6070" i="87" a="1"/>
  <c r="F7012" i="87" a="1"/>
  <c r="F6970" i="87" a="1"/>
  <c r="F6736" i="87" a="1"/>
  <c r="F7679" i="87" a="1"/>
  <c r="F6825" i="87" a="1"/>
  <c r="F6106" i="87" a="1"/>
  <c r="F788" i="87" a="1"/>
  <c r="F5002" i="87" a="1"/>
  <c r="F7666" i="87" a="1"/>
  <c r="F6102" i="87" a="1"/>
  <c r="F7856" i="87" a="1"/>
  <c r="F7566" i="87" a="1"/>
  <c r="F7716" i="87" a="1"/>
  <c r="F6397" i="87" a="1"/>
  <c r="F7687" i="87" a="1"/>
  <c r="F5930" i="87" a="1"/>
  <c r="F6681" i="87" a="1"/>
  <c r="F5508" i="87" a="1"/>
  <c r="F7664" i="87" a="1"/>
  <c r="F6802" i="87" a="1"/>
  <c r="F7685" i="87" a="1"/>
  <c r="F6903" i="87" a="1"/>
  <c r="F6095" i="87" a="1"/>
  <c r="F6956" i="87" a="1"/>
  <c r="F5569" i="87" a="1"/>
  <c r="F4321" i="87" a="1"/>
  <c r="F899" i="87" a="1"/>
  <c r="F6347" i="87" a="1"/>
  <c r="F6321" i="87" a="1"/>
  <c r="F6769" i="87" a="1"/>
  <c r="F6316" i="87" a="1"/>
  <c r="F5860" i="87" a="1"/>
  <c r="F1282" i="87" a="1"/>
  <c r="F3474" i="87" a="1"/>
  <c r="F1355" i="87" a="1"/>
  <c r="F7543" i="87" a="1"/>
  <c r="F6645" i="87" a="1"/>
  <c r="F6154" i="87" a="1"/>
  <c r="F946" i="87" a="1"/>
  <c r="F2736" i="87" a="1"/>
  <c r="F5975" i="87" a="1"/>
  <c r="F7445" i="87" a="1"/>
  <c r="F5698" i="87" a="1"/>
  <c r="F6631" i="87" a="1"/>
  <c r="F7400" i="87" a="1"/>
  <c r="F6673" i="87" a="1"/>
  <c r="F5184" i="87" a="1"/>
  <c r="F6001" i="87" a="1"/>
  <c r="F1364" i="87" a="1"/>
  <c r="F6081" i="87" a="1"/>
  <c r="F5345" i="87" a="1"/>
  <c r="F6178" i="87" a="1"/>
  <c r="F6148" i="87" a="1"/>
  <c r="F5723" i="87" a="1"/>
  <c r="F6720" i="87" a="1"/>
  <c r="F6311" i="87" a="1"/>
  <c r="F5829" i="87" a="1"/>
  <c r="F7837" i="87" a="1"/>
  <c r="F5107" i="87" a="1"/>
  <c r="F7582" i="87" a="1"/>
  <c r="F5018" i="87" a="1"/>
  <c r="F6380" i="87" a="1"/>
  <c r="F7412" i="87" a="1"/>
  <c r="F3601" i="87" a="1"/>
  <c r="F6304" i="87" a="1"/>
  <c r="F1481" i="87" a="1"/>
  <c r="F6372" i="87" a="1"/>
  <c r="F7680" i="87" a="1"/>
  <c r="F4749" i="87" a="1"/>
  <c r="F7415" i="87" a="1"/>
  <c r="F955" i="87" a="1"/>
  <c r="F1307" i="87" a="1"/>
  <c r="F52" i="87" a="1"/>
  <c r="F7408" i="87" a="1"/>
  <c r="F2665" i="87" a="1"/>
  <c r="F6979" i="87" a="1"/>
  <c r="F911" i="87" a="1"/>
  <c r="F5678" i="87" a="1"/>
  <c r="F6280" i="87" a="1"/>
  <c r="F5115" i="87" a="1"/>
  <c r="F1176" i="87" a="1"/>
  <c r="F6958" i="87" a="1"/>
  <c r="F6739" i="87" a="1"/>
  <c r="F6247" i="87" a="1"/>
  <c r="F5802" i="87" a="1"/>
  <c r="F6035" i="87" a="1"/>
  <c r="F4956" i="87" a="1"/>
  <c r="F6776" i="87" a="1"/>
  <c r="F1164" i="87" a="1"/>
  <c r="F6046" i="87" a="1"/>
  <c r="F7520" i="87" a="1"/>
  <c r="F6679" i="87" a="1"/>
  <c r="F6259" i="87" a="1"/>
  <c r="F7733" i="87" a="1"/>
  <c r="F6882" i="87" a="1"/>
  <c r="F6487" i="87" a="1"/>
  <c r="F3114" i="87" a="1"/>
  <c r="F7637" i="87" a="1"/>
  <c r="F7621" i="87" a="1"/>
  <c r="F264" i="87" a="1"/>
  <c r="F6313" i="87" a="1"/>
  <c r="F4365" i="87" a="1"/>
  <c r="F7874" i="87" a="1"/>
  <c r="F7338" i="87" a="1"/>
  <c r="F983" i="87" a="1"/>
  <c r="F5683" i="87" a="1"/>
  <c r="F7452" i="87" a="1"/>
  <c r="F6161" i="87" a="1"/>
  <c r="F6000" i="87" a="1"/>
  <c r="F6267" i="87" a="1"/>
  <c r="F444" i="87" a="1"/>
  <c r="F973" i="87" a="1"/>
  <c r="F7392" i="87" a="1"/>
  <c r="F3569" i="87" a="1"/>
  <c r="F5818" i="87" a="1"/>
  <c r="F6732" i="87" a="1"/>
  <c r="F781" i="87" a="1"/>
  <c r="F1181" i="87" a="1"/>
  <c r="F5282" i="87" a="1"/>
  <c r="F6176" i="87" a="1"/>
  <c r="F6862" i="87" a="1"/>
  <c r="F6195" i="87" a="1"/>
  <c r="F6868" i="87" a="1"/>
  <c r="F3028" i="87" a="1"/>
  <c r="F4022" i="87" a="1"/>
  <c r="F7750" i="87" a="1"/>
  <c r="F7645" i="87" a="1"/>
  <c r="F801" i="87" a="1"/>
  <c r="F5709" i="87" a="1"/>
  <c r="F6772" i="87" a="1"/>
  <c r="F1255" i="87" a="1"/>
  <c r="F6959" i="87" a="1"/>
  <c r="F4324" i="87" a="1"/>
  <c r="F7332" i="87" a="1"/>
  <c r="F7627" i="87" a="1"/>
  <c r="F6671" i="87" a="1"/>
  <c r="F7554" i="87" a="1"/>
  <c r="F5331" i="87" a="1"/>
  <c r="F6110" i="87" a="1"/>
  <c r="F1375" i="87" a="1"/>
  <c r="F6164" i="87" a="1"/>
  <c r="F6007" i="87" a="1"/>
  <c r="F6876" i="87" a="1"/>
  <c r="F7752" i="87" a="1"/>
  <c r="F4757" i="87" a="1"/>
  <c r="F6379" i="87" a="1"/>
  <c r="F5403" i="87" a="1"/>
  <c r="F6920" i="87" a="1"/>
  <c r="F3478" i="87" a="1"/>
  <c r="F4030" i="87" a="1"/>
  <c r="F698" i="87" a="1"/>
  <c r="F6733" i="87" a="1"/>
  <c r="F6201" i="87" a="1"/>
  <c r="F6132" i="87" a="1"/>
  <c r="F7549" i="87" a="1"/>
  <c r="F6746" i="87" a="1"/>
  <c r="F7708" i="87" a="1"/>
  <c r="F6703" i="87" a="1"/>
  <c r="F6142" i="87" a="1"/>
  <c r="F7475" i="87" a="1"/>
  <c r="F6236" i="87" a="1"/>
  <c r="F6027" i="87" a="1"/>
  <c r="F3331" i="87" a="1"/>
  <c r="F7536" i="87" a="1"/>
  <c r="F1617" i="87" a="1"/>
  <c r="F844" i="87" a="1"/>
  <c r="F5429" i="87" a="1"/>
  <c r="F7521" i="87" a="1"/>
  <c r="F5061" i="87" a="1"/>
  <c r="F7643" i="87" a="1"/>
  <c r="F5701" i="87" a="1"/>
  <c r="F6770" i="87" a="1"/>
  <c r="F6723" i="87" a="1"/>
  <c r="F6785" i="87" a="1"/>
  <c r="F1369" i="87" a="1"/>
  <c r="F5287" i="87" a="1"/>
  <c r="F6803" i="87" a="1"/>
  <c r="F662" i="87" a="1"/>
  <c r="F7325" i="87" a="1"/>
  <c r="F4174" i="87" a="1"/>
  <c r="F5821" i="87" a="1"/>
  <c r="F5510" i="87" a="1"/>
  <c r="F1259" i="87" a="1"/>
  <c r="F5092" i="87" a="1"/>
  <c r="F2766" i="87" a="1"/>
  <c r="F6677" i="87" a="1"/>
  <c r="F7862" i="87" a="1"/>
  <c r="F667" i="87" a="1"/>
  <c r="F7414" i="87" a="1"/>
  <c r="F2757" i="87" a="1"/>
  <c r="F5507" i="87" a="1"/>
  <c r="F6484" i="87" a="1"/>
  <c r="F5819" i="87" a="1"/>
  <c r="F6628" i="87" a="1"/>
  <c r="F6985" i="87" a="1"/>
  <c r="F7451" i="87" a="1"/>
  <c r="F5466" i="87" a="1"/>
  <c r="F5339" i="87" a="1"/>
  <c r="F7838" i="87" a="1"/>
  <c r="F4136" i="87" a="1"/>
  <c r="F3219" i="87" a="1"/>
  <c r="F6474" i="87" a="1"/>
  <c r="F4287" i="87" a="1"/>
  <c r="F940" i="87" a="1"/>
  <c r="F7462" i="87" a="1"/>
  <c r="F6114" i="87" a="1"/>
  <c r="F7727" i="87" a="1"/>
  <c r="F5469" i="87" a="1"/>
  <c r="F6118" i="87" a="1"/>
  <c r="F5039" i="87" a="1"/>
  <c r="F5563" i="87" a="1"/>
  <c r="F7712" i="87" a="1"/>
  <c r="F7544" i="87" a="1"/>
  <c r="F4890" i="87" a="1"/>
  <c r="F3265" i="87" a="1"/>
  <c r="F6608" i="87" a="1"/>
  <c r="F7379" i="87" a="1"/>
  <c r="F2943" i="87" a="1"/>
  <c r="F596" i="87" a="1"/>
  <c r="F4830" i="87" a="1"/>
  <c r="F918" i="87" a="1"/>
  <c r="F2036" i="87" a="1"/>
  <c r="F5131" i="87" a="1"/>
  <c r="F6287" i="87" a="1"/>
  <c r="F4161" i="87" a="1"/>
  <c r="F6938" i="87" a="1"/>
  <c r="F3366" i="87" a="1"/>
  <c r="F7720" i="87" a="1"/>
  <c r="F7023" i="87" a="1"/>
  <c r="F6883" i="87" a="1"/>
  <c r="F6351" i="87" a="1"/>
  <c r="F6071" i="87" a="1"/>
  <c r="F6136" i="87" a="1"/>
  <c r="F6787" i="87" a="1"/>
  <c r="F976" i="87" a="1"/>
  <c r="F6341" i="87" a="1"/>
  <c r="F4351" i="87" a="1"/>
  <c r="F3239" i="87" a="1"/>
  <c r="F6778" i="87" a="1"/>
  <c r="F4335" i="87" a="1"/>
  <c r="F6162" i="87" a="1"/>
  <c r="F7556" i="87" a="1"/>
  <c r="F6939" i="87" a="1"/>
  <c r="F4797" i="87" a="1"/>
  <c r="F7646" i="87" a="1"/>
  <c r="F3321" i="87" a="1"/>
  <c r="F6807" i="87" a="1"/>
  <c r="F4313" i="87" a="1"/>
  <c r="F7007" i="87" a="1"/>
  <c r="F6353" i="87" a="1"/>
  <c r="F882" i="87" a="1"/>
  <c r="F6401" i="87" a="1"/>
  <c r="F2750" i="87" a="1"/>
  <c r="F7405" i="87" a="1"/>
  <c r="F2704" i="87" a="1"/>
  <c r="F6086" i="87" a="1"/>
  <c r="F4123" i="87" a="1"/>
  <c r="F6222" i="87" a="1"/>
  <c r="F7334" i="87" a="1"/>
  <c r="F7413" i="87" a="1"/>
  <c r="F4743" i="87" a="1"/>
  <c r="F5861" i="87" a="1"/>
  <c r="F1304" i="87" a="1"/>
  <c r="F5665" i="87" a="1"/>
  <c r="F6087" i="87" a="1"/>
  <c r="F676" i="87" a="1"/>
  <c r="F1366" i="87" a="1"/>
  <c r="F6687" i="87" a="1"/>
  <c r="F5519" i="87" a="1"/>
  <c r="F4288" i="87" a="1"/>
  <c r="F5456" i="87" a="1"/>
  <c r="F4970" i="87" a="1"/>
  <c r="F4282" i="87" a="1"/>
  <c r="F4831" i="87" a="1"/>
  <c r="F856" i="87" a="1"/>
  <c r="F4322" i="87" a="1"/>
  <c r="F837" i="87" a="1"/>
  <c r="F3178" i="87" a="1"/>
  <c r="F6051" i="87" a="1"/>
  <c r="F707" i="87" a="1"/>
  <c r="F5799" i="87" a="1"/>
  <c r="F6813" i="87" a="1"/>
  <c r="F2669" i="87" a="1"/>
  <c r="F6139" i="87" a="1"/>
  <c r="F6237" i="87" a="1"/>
  <c r="F6755" i="87" a="1"/>
  <c r="F7505" i="87" a="1"/>
  <c r="F3358" i="87" a="1"/>
  <c r="F6949" i="87" a="1"/>
  <c r="F6171" i="87" a="1"/>
  <c r="F3430" i="87" a="1"/>
  <c r="F5001" i="87" a="1"/>
  <c r="F4799" i="87" a="1"/>
  <c r="F4740" i="87" a="1"/>
  <c r="F5682" i="87" a="1"/>
  <c r="F2924" i="87" a="1"/>
  <c r="F6022" i="87" a="1"/>
  <c r="F7641" i="87" a="1"/>
  <c r="F6163" i="87" a="1"/>
  <c r="F790" i="87" a="1"/>
  <c r="F269" i="87" a="1"/>
  <c r="F6068" i="87" a="1"/>
  <c r="F132" i="87" a="1"/>
  <c r="F5063" i="87" a="1"/>
  <c r="F7585" i="87" a="1"/>
  <c r="F6069" i="87" a="1"/>
  <c r="F6674" i="87" a="1"/>
  <c r="F7547" i="87" a="1"/>
  <c r="F4062" i="87" a="1"/>
  <c r="F5284" i="87" a="1"/>
  <c r="F3524" i="87" a="1"/>
  <c r="F4336" i="87" a="1"/>
  <c r="F6261" i="87" a="1"/>
  <c r="F2937" i="87" a="1"/>
  <c r="F865" i="87" a="1"/>
  <c r="F5200" i="87" a="1"/>
  <c r="F700" i="87" a="1"/>
  <c r="F3369" i="87" a="1"/>
  <c r="F5686" i="87" a="1"/>
  <c r="F7434" i="87" a="1"/>
  <c r="F1316" i="87" a="1"/>
  <c r="F6799" i="87" a="1"/>
  <c r="F3564" i="87" a="1"/>
  <c r="F6135" i="87" a="1"/>
  <c r="F6751" i="87" a="1"/>
  <c r="F3203" i="87" a="1"/>
  <c r="F5111" i="87" a="1"/>
  <c r="F67" i="87" a="1"/>
  <c r="F5529" i="87" a="1"/>
  <c r="F6921" i="87" a="1"/>
  <c r="F4171" i="87" a="1"/>
  <c r="F6138" i="87" a="1"/>
  <c r="F5303" i="87" a="1"/>
  <c r="F6345" i="87" a="1"/>
  <c r="F6021" i="87" a="1"/>
  <c r="F7491" i="87" a="1"/>
  <c r="F4306" i="87" a="1"/>
  <c r="F7444" i="87" a="1"/>
  <c r="F5022" i="87" a="1"/>
  <c r="F5762" i="87" a="1"/>
  <c r="F982" i="87" a="1"/>
  <c r="F3313" i="87" a="1"/>
  <c r="F265" i="87" a="1"/>
  <c r="F5030" i="87" a="1"/>
  <c r="F5051" i="87" a="1"/>
  <c r="F7498" i="87" a="1"/>
  <c r="F848" i="87" a="1"/>
  <c r="F7597" i="87" a="1"/>
  <c r="F4256" i="87" a="1"/>
  <c r="F3426" i="87" a="1"/>
  <c r="F7489" i="87" a="1"/>
  <c r="F6884" i="87" a="1"/>
  <c r="F1172" i="87" a="1"/>
  <c r="F7577" i="87" a="1"/>
  <c r="F103" i="87" a="1"/>
  <c r="F5245" i="87" a="1"/>
  <c r="F6846" i="87" a="1"/>
  <c r="F31" i="87" a="1"/>
  <c r="F5603" i="87" a="1"/>
  <c r="F1395" i="87" a="1"/>
  <c r="F905" i="87" a="1"/>
  <c r="F7741" i="87" a="1"/>
  <c r="F6149" i="87" a="1"/>
  <c r="F7669" i="87" a="1"/>
  <c r="F6818" i="87" a="1"/>
  <c r="F7740" i="87" a="1"/>
  <c r="F5865" i="87" a="1"/>
  <c r="F1367" i="87" a="1"/>
  <c r="F7630" i="87" a="1"/>
  <c r="F5999" i="87" a="1"/>
  <c r="F6464" i="87" a="1"/>
  <c r="F914" i="87" a="1"/>
  <c r="F2751" i="87" a="1"/>
  <c r="F2941" i="87" a="1"/>
  <c r="F2903" i="87" a="1"/>
  <c r="F5121" i="87" a="1"/>
  <c r="F734" i="87" a="1"/>
  <c r="F3597" i="87" a="1"/>
  <c r="F6172" i="87" a="1"/>
  <c r="F7668" i="87" a="1"/>
  <c r="F840" i="87" a="1"/>
  <c r="F143" i="87" a="1"/>
  <c r="F7552" i="87" a="1"/>
  <c r="F6009" i="87" a="1"/>
  <c r="F792" i="87" a="1"/>
  <c r="F5654" i="87" a="1"/>
  <c r="F851" i="87" a="1"/>
  <c r="F766" i="87" a="1"/>
  <c r="F6783" i="87" a="1"/>
  <c r="F1389" i="87" a="1"/>
  <c r="F6795" i="87" a="1"/>
  <c r="F6848" i="87" a="1"/>
  <c r="F4319" i="87" a="1"/>
  <c r="F7528" i="87" a="1"/>
  <c r="F975" i="87" a="1"/>
  <c r="F6126" i="87" a="1"/>
  <c r="F6749" i="87" a="1"/>
  <c r="F6524" i="87" a="1"/>
  <c r="F5984" i="87" a="1"/>
  <c r="F5524" i="87" a="1"/>
  <c r="F7440" i="87" a="1"/>
  <c r="F6806" i="87" a="1"/>
  <c r="F5280" i="87" a="1"/>
  <c r="F6193" i="87" a="1"/>
  <c r="F7503" i="87" a="1"/>
  <c r="F2893" i="87" a="1"/>
  <c r="F5729" i="87" a="1"/>
  <c r="F6016" i="87" a="1"/>
  <c r="F1493" i="87" a="1"/>
  <c r="F4023" i="87" a="1"/>
  <c r="F7581" i="87" a="1"/>
  <c r="F3583" i="87" a="1"/>
  <c r="F789" i="87" a="1"/>
  <c r="F6643" i="87" a="1"/>
  <c r="F6064" i="87" a="1"/>
  <c r="F958" i="87" a="1"/>
  <c r="F1180" i="87" a="1"/>
  <c r="F6815" i="87" a="1"/>
  <c r="F847" i="87" a="1"/>
  <c r="F7456" i="87" a="1"/>
  <c r="F6255" i="87" a="1"/>
  <c r="F842" i="87" a="1"/>
  <c r="F5935" i="87" a="1"/>
  <c r="F6672" i="87" a="1"/>
  <c r="F2901" i="87" a="1"/>
  <c r="F23" i="87" a="1"/>
  <c r="F5125" i="87" a="1"/>
  <c r="F1285" i="87" a="1"/>
  <c r="F5534" i="87" a="1"/>
  <c r="F4258" i="87" a="1"/>
  <c r="F892" i="87" a="1"/>
  <c r="F7402" i="87" a="1"/>
  <c r="F5797" i="87" a="1"/>
  <c r="F3332" i="87" a="1"/>
  <c r="F7397" i="87" a="1"/>
  <c r="F6298" i="87" a="1"/>
  <c r="F816" i="87" a="1"/>
  <c r="F6152" i="87" a="1"/>
  <c r="F7333" i="87" a="1"/>
  <c r="F7579" i="87" a="1"/>
  <c r="F4274" i="87" a="1"/>
  <c r="F7864" i="87" a="1"/>
  <c r="F737" i="87" a="1"/>
  <c r="F6880" i="87" a="1"/>
  <c r="F6597" i="87" a="1"/>
  <c r="F7459" i="87" a="1"/>
  <c r="F7532" i="87" a="1"/>
  <c r="F5983" i="87" a="1"/>
  <c r="F3026" i="87" a="1"/>
  <c r="F6271" i="87" a="1"/>
  <c r="F4754" i="87" a="1"/>
  <c r="F6065" i="87" a="1"/>
  <c r="F6758" i="87" a="1"/>
  <c r="F666" i="87" a="1"/>
  <c r="F1197" i="87" a="1"/>
  <c r="F7546" i="87" a="1"/>
  <c r="F5530" i="87" a="1"/>
  <c r="F6010" i="87" a="1"/>
  <c r="F6208" i="87" a="1"/>
  <c r="F785" i="87" a="1"/>
  <c r="F6326" i="87" a="1"/>
  <c r="F5078" i="87" a="1"/>
  <c r="F6694" i="87" a="1"/>
  <c r="F7602" i="87" a="1"/>
  <c r="F7696" i="87" a="1"/>
  <c r="F7497" i="87" a="1"/>
  <c r="F2713" i="87" a="1"/>
  <c r="F6735" i="87" a="1"/>
  <c r="F731" i="87" a="1"/>
  <c r="F6226" i="87" a="1"/>
  <c r="F5869" i="87" a="1"/>
  <c r="F6798" i="87" a="1"/>
  <c r="F6238" i="87" a="1"/>
  <c r="F6725" i="87" a="1"/>
  <c r="F6521" i="87" a="1"/>
  <c r="F738" i="87" a="1"/>
  <c r="F7603" i="87" a="1"/>
  <c r="F6488" i="87" a="1"/>
  <c r="F2667" i="87" a="1"/>
  <c r="F7660" i="87" a="1"/>
  <c r="F881" i="87" a="1"/>
  <c r="F778" i="87" a="1"/>
  <c r="F1189" i="87" a="1"/>
  <c r="F6705" i="87" a="1"/>
  <c r="F7495" i="87" a="1"/>
  <c r="F3578" i="87" a="1"/>
  <c r="F149" i="87" a="1"/>
  <c r="F6936" i="87" a="1"/>
  <c r="F2942" i="87" a="1"/>
  <c r="F4738" i="87" a="1"/>
  <c r="F2764" i="87" a="1"/>
  <c r="F6716" i="87" a="1"/>
  <c r="F4360" i="87" a="1"/>
  <c r="F2788" i="87" a="1"/>
  <c r="F893" i="87" a="1"/>
  <c r="F5945" i="87" a="1"/>
  <c r="F5012" i="87" a="1"/>
  <c r="F5505" i="87" a="1"/>
  <c r="F6686" i="87" a="1"/>
  <c r="F6976" i="87" a="1"/>
  <c r="F4260" i="87" a="1"/>
  <c r="F970" i="87" a="1"/>
  <c r="F7383" i="87" a="1"/>
  <c r="F683" i="87" a="1"/>
  <c r="F7512" i="87" a="1"/>
  <c r="F7464" i="87" a="1"/>
  <c r="F6892" i="87" a="1"/>
  <c r="F5296" i="87" a="1"/>
  <c r="F5823" i="87" a="1"/>
  <c r="F6607" i="87" a="1"/>
  <c r="F6757" i="87" a="1"/>
  <c r="F4172" i="87" a="1"/>
  <c r="F4326" i="87" a="1"/>
  <c r="F6730" i="87" a="1"/>
  <c r="F6108" i="87" a="1"/>
  <c r="F5020" i="87" a="1"/>
  <c r="F732" i="87" a="1"/>
  <c r="F1173" i="87" a="1"/>
  <c r="F5305" i="87" a="1"/>
  <c r="F1279" i="87" a="1"/>
  <c r="F7875" i="87" a="1"/>
  <c r="F6325" i="87" a="1"/>
  <c r="F6122" i="87" a="1"/>
  <c r="F7659" i="87" a="1"/>
  <c r="F5000" i="87" a="1"/>
  <c r="F7335" i="87" a="1"/>
  <c r="F824" i="87" a="1"/>
  <c r="F6717" i="87" a="1"/>
  <c r="F3180" i="87" a="1"/>
  <c r="F5298" i="87" a="1"/>
  <c r="F7700" i="87" a="1"/>
  <c r="F6174" i="87" a="1"/>
  <c r="F5550" i="87" a="1"/>
  <c r="F857" i="87" a="1"/>
  <c r="F6166" i="87" a="1"/>
  <c r="F4296" i="87" a="1"/>
  <c r="F5545" i="87" a="1"/>
  <c r="F4862" i="87" a="1"/>
  <c r="F798" i="87" a="1"/>
  <c r="F7485" i="87" a="1"/>
  <c r="F6689" i="87" a="1"/>
  <c r="F1376" i="87" a="1"/>
  <c r="F7337" i="87" a="1"/>
  <c r="F19" i="87" a="1"/>
  <c r="F6722" i="87" a="1"/>
  <c r="F6747" i="87" a="1"/>
  <c r="F6867" i="87" a="1"/>
  <c r="F7351" i="87" a="1"/>
  <c r="F4741" i="87" a="1"/>
  <c r="F7854" i="87" a="1"/>
  <c r="F6845" i="87" a="1"/>
  <c r="F5472" i="87" a="1"/>
  <c r="F5281" i="87" a="1"/>
  <c r="F6385" i="87" a="1"/>
  <c r="F6683" i="87" a="1"/>
  <c r="F6753" i="87" a="1"/>
  <c r="F5997" i="87" a="1"/>
  <c r="F4295" i="87" a="1"/>
  <c r="F5673" i="87" a="1"/>
  <c r="F1179" i="87" a="1"/>
  <c r="F5522" i="87" a="1"/>
  <c r="F6793" i="87" a="1"/>
  <c r="F5319" i="87" a="1"/>
  <c r="F4280" i="87" a="1"/>
  <c r="F1478" i="87" a="1"/>
  <c r="F6924" i="87" a="1"/>
  <c r="F7511" i="87" a="1"/>
  <c r="F6901" i="87" a="1"/>
  <c r="F6897" i="87" a="1"/>
  <c r="F6748" i="87" a="1"/>
  <c r="F6682" i="87" a="1"/>
  <c r="F6282" i="87" a="1"/>
  <c r="F953" i="87" a="1"/>
  <c r="F6764" i="87" a="1"/>
  <c r="F6932" i="87" a="1"/>
  <c r="F7848" i="87" a="1"/>
  <c r="F2765" i="87" a="1"/>
  <c r="F2769" i="87" a="1"/>
  <c r="F5083" i="87" a="1"/>
  <c r="F6008" i="87" a="1"/>
  <c r="F5616" i="87" a="1"/>
  <c r="F3317" i="87" a="1"/>
  <c r="F7529" i="87" a="1"/>
  <c r="F3241" i="87" a="1"/>
  <c r="F4760" i="87" a="1"/>
  <c r="F7458" i="87" a="1"/>
  <c r="F6773" i="87" a="1"/>
  <c r="F6366" i="87" a="1"/>
  <c r="F4391" i="87" a="1"/>
  <c r="F670" i="87" a="1"/>
  <c r="F6761" i="87" a="1"/>
  <c r="F6611" i="87" a="1"/>
  <c r="F7616" i="87" a="1"/>
  <c r="F1487" i="87" a="1"/>
  <c r="F3523" i="87" a="1"/>
  <c r="F5735" i="87" a="1"/>
  <c r="F756" i="87" a="1"/>
  <c r="F6167" i="87" a="1"/>
  <c r="F7326" i="87" a="1"/>
  <c r="F6101" i="87" a="1"/>
  <c r="F1204" i="87" a="1"/>
  <c r="F6940" i="87" a="1"/>
  <c r="F5295" i="87" a="1"/>
  <c r="F3312" i="87" a="1"/>
  <c r="F5259" i="87" a="1"/>
  <c r="F5832" i="87" a="1"/>
  <c r="F6633" i="87" a="1"/>
  <c r="F6389" i="87" a="1"/>
  <c r="F6296" i="87" a="1"/>
  <c r="F853" i="87" a="1"/>
  <c r="F5219" i="87" a="1"/>
  <c r="F6680" i="87" a="1"/>
  <c r="F7650" i="87" a="1"/>
  <c r="F5851" i="87" a="1"/>
  <c r="F6765" i="87" a="1"/>
  <c r="F6050" i="87" a="1"/>
  <c r="F5440" i="87" a="1"/>
  <c r="F37" i="87" a="1"/>
  <c r="F7677" i="87" a="1"/>
  <c r="F6726" i="87" a="1"/>
  <c r="F3525" i="87" a="1"/>
  <c r="F6330" i="87" a="1"/>
  <c r="F5070" i="87" a="1"/>
  <c r="F7604" i="87" a="1"/>
  <c r="F3024" i="87" a="1"/>
  <c r="F874" i="87" a="1"/>
  <c r="F5314" i="87" a="1"/>
  <c r="F990" i="87" a="1"/>
  <c r="F7624" i="87" a="1"/>
  <c r="F665" i="87" a="1"/>
  <c r="F7340" i="87" a="1"/>
  <c r="F7471" i="87" a="1"/>
  <c r="F7353" i="87" a="1"/>
  <c r="F6308" i="87" a="1"/>
  <c r="F5272" i="87" a="1"/>
  <c r="F6714" i="87" a="1"/>
  <c r="F1212" i="87" a="1"/>
  <c r="F6029" i="87" a="1"/>
  <c r="F6289" i="87" a="1"/>
  <c r="F6942" i="87" a="1"/>
  <c r="F4320" i="87" a="1"/>
  <c r="F5291" i="87" a="1"/>
  <c r="F7599" i="87" a="1"/>
  <c r="F2663" i="87" a="1"/>
  <c r="F1378" i="87" a="1"/>
  <c r="F1384" i="87" a="1"/>
  <c r="F7469" i="87" a="1"/>
  <c r="F7376" i="87" a="1"/>
  <c r="F4828" i="87" a="1"/>
  <c r="F6339" i="87" a="1"/>
  <c r="F7527" i="87" a="1"/>
  <c r="F5934" i="87" a="1"/>
  <c r="F7693" i="87" a="1"/>
  <c r="F7857" i="87" a="1"/>
  <c r="F4029" i="87" a="1"/>
  <c r="F867" i="87" a="1"/>
  <c r="F6134" i="87" a="1"/>
  <c r="F925" i="87" a="1"/>
  <c r="F6853" i="87" a="1"/>
  <c r="F1357" i="87" a="1"/>
  <c r="F650" i="87" a="1"/>
  <c r="F4058" i="87" a="1"/>
  <c r="F995" i="87" a="1"/>
  <c r="F7507" i="87" a="1"/>
  <c r="F4298" i="87" a="1"/>
  <c r="F2787" i="87" a="1"/>
  <c r="F7634" i="87" a="1"/>
  <c r="F5306" i="87" a="1"/>
  <c r="F7349" i="87" a="1"/>
  <c r="F7418" i="87" a="1"/>
  <c r="F7344" i="87" a="1"/>
  <c r="F686" i="87" a="1"/>
  <c r="F6899" i="87" a="1"/>
  <c r="F7501" i="87" a="1"/>
  <c r="F7431" i="87" a="1"/>
  <c r="F6948" i="87" a="1"/>
  <c r="F6975" i="87" a="1"/>
  <c r="F753" i="87" a="1"/>
  <c r="F4021" i="87" a="1"/>
  <c r="F5668" i="87" a="1"/>
  <c r="F7588" i="87" a="1"/>
  <c r="F908" i="87" a="1"/>
  <c r="F5187" i="87" a="1"/>
  <c r="F7359" i="87" a="1"/>
  <c r="F6829" i="87" a="1"/>
  <c r="F6318" i="87" a="1"/>
  <c r="F7694" i="87" a="1"/>
  <c r="F1469" i="87" a="1"/>
  <c r="F3001" i="87" a="1"/>
  <c r="F5060" i="87" a="1"/>
  <c r="F4159" i="87" a="1"/>
  <c r="F6215" i="87" a="1"/>
  <c r="F4286" i="87" a="1"/>
  <c r="F897" i="87" a="1"/>
  <c r="F6225" i="87" a="1"/>
  <c r="F6230" i="87" a="1"/>
  <c r="F795" i="87" a="1"/>
  <c r="F6045" i="87" a="1"/>
  <c r="F3008" i="87" a="1"/>
  <c r="F6049" i="87" a="1"/>
  <c r="F2745" i="87" a="1"/>
  <c r="F6181" i="87" a="1"/>
  <c r="F85" i="87" a="1"/>
  <c r="F7610" i="87" a="1"/>
  <c r="F7670" i="87" a="1"/>
  <c r="F6418" i="87" a="1"/>
  <c r="F7861" i="87" a="1"/>
  <c r="F6099" i="87" a="1"/>
  <c r="F97" i="87" a="1"/>
  <c r="F6993" i="87" a="1"/>
  <c r="F5041" i="87" a="1"/>
  <c r="F1496" i="87" a="1"/>
  <c r="F6017" i="87" a="1"/>
  <c r="F4289" i="87" a="1"/>
  <c r="F5199" i="87" a="1"/>
  <c r="F7676" i="87" a="1"/>
  <c r="F1358" i="87" a="1"/>
  <c r="F1383" i="87" a="1"/>
  <c r="F5675" i="87" a="1"/>
  <c r="F6031" i="87" a="1"/>
  <c r="F4363" i="87" a="1"/>
  <c r="F6873" i="87" a="1"/>
  <c r="F6151" i="87" a="1"/>
  <c r="F802" i="87" a="1"/>
  <c r="F4300" i="87" a="1"/>
  <c r="F6926" i="87" a="1"/>
  <c r="F7470" i="87" a="1"/>
  <c r="F6084" i="87" a="1"/>
  <c r="F5609" i="87" a="1"/>
  <c r="F7704" i="87" a="1"/>
  <c r="F7492" i="87" a="1"/>
  <c r="F6667" i="87" a="1"/>
  <c r="F4968" i="87" a="1"/>
  <c r="F5672" i="87" a="1"/>
  <c r="F7611" i="87" a="1"/>
  <c r="F6042" i="87" a="1"/>
  <c r="F724" i="87" a="1"/>
  <c r="F7518" i="87" a="1"/>
  <c r="F5468" i="87" a="1"/>
  <c r="F7623" i="87" a="1"/>
  <c r="F6276" i="87" a="1"/>
  <c r="F6800" i="87" a="1"/>
  <c r="F4866" i="87" a="1"/>
  <c r="F5929" i="87" a="1"/>
  <c r="F6900" i="87" a="1"/>
  <c r="F6858" i="87" a="1"/>
  <c r="F6987" i="87" a="1"/>
  <c r="F6889" i="87" a="1"/>
  <c r="F6396" i="87" a="1"/>
  <c r="F1393" i="87" a="1"/>
  <c r="F6191" i="87" a="1"/>
  <c r="F7850" i="87" a="1"/>
  <c r="F6224" i="87" a="1"/>
  <c r="F7425" i="87" a="1"/>
  <c r="F6190" i="87" a="1"/>
  <c r="F5598" i="87" a="1"/>
  <c r="F742" i="87" a="1"/>
  <c r="F147" i="87" a="1"/>
  <c r="F6737" i="87" a="1"/>
  <c r="F3606" i="87" a="1"/>
  <c r="F5511" i="87" a="1"/>
  <c r="F6286" i="87" a="1"/>
  <c r="F6414" i="87" a="1"/>
  <c r="F3333" i="87" a="1"/>
  <c r="F807" i="87" a="1"/>
  <c r="F6865" i="87" a="1"/>
  <c r="F967" i="87" a="1"/>
  <c r="F6792" i="87" a="1"/>
  <c r="F1163" i="87" a="1"/>
  <c r="F957" i="87" a="1"/>
  <c r="F7347" i="87" a="1"/>
  <c r="F3315" i="87" a="1"/>
  <c r="F1589" i="87" a="1"/>
  <c r="F6797" i="87" a="1"/>
  <c r="F22" i="87" a="1"/>
  <c r="F2894" i="87" a="1"/>
  <c r="F6728" i="87" a="1"/>
  <c r="F1372" i="87" a="1"/>
  <c r="F6837" i="87" a="1"/>
  <c r="F6919" i="87" a="1"/>
  <c r="F2891" i="87" a="1"/>
  <c r="F2900" i="87" a="1"/>
  <c r="F6076" i="87" a="1"/>
  <c r="F6707" i="87" a="1"/>
  <c r="F7025" i="87" a="1"/>
  <c r="F562" i="87" a="1"/>
  <c r="F7593" i="87" a="1"/>
  <c r="F6866" i="87" a="1"/>
  <c r="F3310" i="87" a="1"/>
  <c r="F7416" i="87" a="1"/>
  <c r="F6871" i="87" a="1"/>
  <c r="F6872" i="87" a="1"/>
  <c r="F5285" i="87" a="1"/>
  <c r="F2776" i="87" a="1"/>
  <c r="F5617" i="87" a="1"/>
  <c r="F3589" i="87" a="1"/>
  <c r="F1257" i="87" a="1"/>
  <c r="F7651" i="87" a="1"/>
  <c r="F2775" i="87" a="1"/>
  <c r="F6950" i="87" a="1"/>
  <c r="F4304" i="87" a="1"/>
  <c r="F888" i="87" a="1"/>
  <c r="F7385" i="87" a="1"/>
  <c r="F5871" i="87" a="1"/>
  <c r="F7401" i="87" a="1"/>
  <c r="F4971" i="87" a="1"/>
  <c r="F6734" i="87" a="1"/>
  <c r="F5224" i="87" a="1"/>
  <c r="F7738" i="87" a="1"/>
  <c r="F6852" i="87" a="1"/>
  <c r="F6388" i="87" a="1"/>
  <c r="F7522" i="87" a="1"/>
  <c r="F5500" i="87" a="1"/>
  <c r="F7530" i="87" a="1"/>
  <c r="F5467" i="87" a="1"/>
  <c r="F5024" i="87" a="1"/>
  <c r="F3592" i="87" a="1"/>
  <c r="F5455" i="87" a="1"/>
  <c r="F4752" i="87" a="1"/>
  <c r="F860" i="87" a="1"/>
  <c r="F6573" i="87" a="1"/>
  <c r="F6834" i="87" a="1"/>
  <c r="F7429" i="87" a="1"/>
  <c r="F5407" i="87" a="1"/>
  <c r="F808" i="87" a="1"/>
  <c r="F6279" i="87" a="1"/>
  <c r="F7021" i="87" a="1"/>
  <c r="F3319" i="87" a="1"/>
  <c r="F5044" i="87" a="1"/>
  <c r="F4281" i="87" a="1"/>
  <c r="F6619" i="87" a="1"/>
  <c r="F6124" i="87" a="1"/>
  <c r="F6192" i="87" a="1"/>
  <c r="F6273" i="87" a="1"/>
  <c r="F5038" i="87" a="1"/>
  <c r="F7399" i="87" a="1"/>
  <c r="F153" i="87" a="1"/>
  <c r="F5335" i="87" a="1"/>
  <c r="F5636" i="87" a="1"/>
  <c r="F7331" i="87" a="1"/>
  <c r="F5042" i="87" a="1"/>
  <c r="F5008" i="87" a="1"/>
  <c r="F720" i="87" a="1"/>
  <c r="F6141" i="87" a="1"/>
  <c r="F1350" i="87" a="1"/>
  <c r="F6120" i="87" a="1"/>
  <c r="F7865" i="87" a="1"/>
  <c r="F7477" i="87" a="1"/>
  <c r="F6604" i="87" a="1"/>
  <c r="F7506" i="87" a="1"/>
  <c r="F5863" i="87" a="1"/>
  <c r="F6133" i="87" a="1"/>
  <c r="F3027" i="87" a="1"/>
  <c r="F6349" i="87" a="1"/>
  <c r="F5052" i="87" a="1"/>
  <c r="F4392" i="87" a="1"/>
  <c r="F7583" i="87" a="1"/>
  <c r="F6941" i="87" a="1"/>
  <c r="F5635" i="87" a="1"/>
  <c r="F5297" i="87" a="1"/>
  <c r="F2742" i="87" a="1"/>
  <c r="F5734" i="87" a="1"/>
  <c r="F5868" i="87" a="1"/>
  <c r="F939" i="87" a="1"/>
  <c r="F7852" i="87" a="1"/>
  <c r="F6094" i="87" a="1"/>
  <c r="F909" i="87" a="1"/>
  <c r="F7717" i="87" a="1"/>
  <c r="F55" i="87" a="1"/>
  <c r="F5289" i="87" a="1"/>
  <c r="F6823" i="87" a="1"/>
  <c r="F7724" i="87" a="1"/>
  <c r="F2934" i="87" a="1"/>
  <c r="F6196" i="87" a="1"/>
  <c r="F7658" i="87" a="1"/>
  <c r="F6381" i="87" a="1"/>
  <c r="F719" i="87" a="1"/>
  <c r="F5680" i="87" a="1"/>
  <c r="F7636" i="87" a="1"/>
  <c r="F6917" i="87" a="1"/>
  <c r="F5003" i="87" a="1"/>
  <c r="F922" i="87" a="1"/>
  <c r="F6333" i="87" a="1"/>
  <c r="F7714" i="87" a="1"/>
  <c r="F5337" i="87" a="1"/>
  <c r="F730" i="87" a="1"/>
  <c r="F682" i="87" a="1"/>
  <c r="F6844" i="87" a="1"/>
  <c r="F4739" i="87" a="1"/>
  <c r="F3526" i="87" a="1"/>
  <c r="F1351" i="87" a="1"/>
  <c r="F6836" i="87" a="1"/>
  <c r="F7341" i="87" a="1"/>
  <c r="F7373" i="87" a="1"/>
  <c r="F6575" i="87" a="1"/>
  <c r="F5174" i="87" a="1"/>
  <c r="F7559" i="87" a="1"/>
  <c r="F6165" i="87" a="1"/>
  <c r="F6784" i="87" a="1"/>
  <c r="F6228" i="87" a="1"/>
  <c r="F7711" i="87" a="1"/>
  <c r="F7553" i="87" a="1"/>
  <c r="F6863" i="87" a="1"/>
  <c r="F7613" i="87" a="1"/>
  <c r="F268" i="87" a="1"/>
  <c r="F2902" i="87" a="1"/>
  <c r="F5047" i="87" a="1"/>
  <c r="F5175" i="87" a="1"/>
  <c r="F735" i="87" a="1"/>
  <c r="F1603" i="87" a="1"/>
  <c r="F5940" i="87" a="1"/>
  <c r="F5057" i="87" a="1"/>
  <c r="F7426" i="87" a="1"/>
  <c r="F7454" i="87" a="1"/>
  <c r="F963" i="87" a="1"/>
  <c r="F151" i="87" a="1"/>
  <c r="F7656" i="87" a="1"/>
  <c r="F4966" i="87" a="1"/>
  <c r="F6930" i="87" a="1"/>
  <c r="F7697" i="87" a="1"/>
  <c r="F7432" i="87" a="1"/>
  <c r="F5191" i="87" a="1"/>
  <c r="F4958" i="87" a="1"/>
  <c r="F5438" i="87" a="1"/>
  <c r="F7343" i="87" a="1"/>
  <c r="F748" i="87" a="1"/>
  <c r="F7329" i="87" a="1"/>
  <c r="F796" i="87" a="1"/>
  <c r="F1184" i="87" a="1"/>
  <c r="F3320" i="87" a="1"/>
  <c r="F6175" i="87" a="1"/>
  <c r="F811" i="87" a="1"/>
  <c r="F7377" i="87" a="1"/>
  <c r="F6896" i="87" a="1"/>
  <c r="F5066" i="87" a="1"/>
  <c r="F7690" i="87" a="1"/>
  <c r="F6832" i="87" a="1"/>
  <c r="F3533" i="87" a="1"/>
  <c r="F7393" i="87" a="1"/>
  <c r="F6476" i="87" a="1"/>
  <c r="F6343" i="87" a="1"/>
  <c r="F6742" i="87" a="1"/>
  <c r="F3172" i="87" a="1"/>
  <c r="F7665" i="87" a="1"/>
  <c r="F809" i="87" a="1"/>
  <c r="F6274" i="87" a="1"/>
  <c r="F6253" i="87" a="1"/>
  <c r="F7424" i="87" a="1"/>
  <c r="F1394" i="87" a="1"/>
  <c r="F1196" i="87" a="1"/>
  <c r="F1196" i="87" l="1"/>
  <c r="F1394" i="87"/>
  <c r="F7424" i="87"/>
  <c r="F6253" i="87"/>
  <c r="F6274" i="87"/>
  <c r="F809" i="87"/>
  <c r="F7665" i="87"/>
  <c r="F3172" i="87"/>
  <c r="F6742" i="87"/>
  <c r="F6343" i="87"/>
  <c r="F6476" i="87"/>
  <c r="F7393" i="87"/>
  <c r="F3533" i="87"/>
  <c r="F6832" i="87"/>
  <c r="F7690" i="87"/>
  <c r="F5066" i="87"/>
  <c r="F6896" i="87"/>
  <c r="F7377" i="87"/>
  <c r="F811" i="87"/>
  <c r="F6175" i="87"/>
  <c r="F3320" i="87"/>
  <c r="F1184" i="87"/>
  <c r="F796" i="87"/>
  <c r="F7329" i="87"/>
  <c r="F748" i="87"/>
  <c r="F7343" i="87"/>
  <c r="F5438" i="87"/>
  <c r="F4958" i="87"/>
  <c r="F5191" i="87"/>
  <c r="F7432" i="87"/>
  <c r="F7697" i="87"/>
  <c r="F6930" i="87"/>
  <c r="F4966" i="87"/>
  <c r="F7656" i="87"/>
  <c r="F151" i="87"/>
  <c r="F963" i="87"/>
  <c r="F7454" i="87"/>
  <c r="F7426" i="87"/>
  <c r="F5057" i="87"/>
  <c r="F5940" i="87"/>
  <c r="F1603" i="87"/>
  <c r="F735" i="87"/>
  <c r="F5175" i="87"/>
  <c r="F5047" i="87"/>
  <c r="F2902" i="87"/>
  <c r="F268" i="87"/>
  <c r="F7613" i="87"/>
  <c r="F6863" i="87"/>
  <c r="F7553" i="87"/>
  <c r="F7711" i="87"/>
  <c r="F6228" i="87"/>
  <c r="F6784" i="87"/>
  <c r="F6165" i="87"/>
  <c r="F7559" i="87"/>
  <c r="F5174" i="87"/>
  <c r="F6575" i="87"/>
  <c r="F7373" i="87"/>
  <c r="F7341" i="87"/>
  <c r="F6836" i="87"/>
  <c r="F1351" i="87"/>
  <c r="F3526" i="87"/>
  <c r="F4739" i="87"/>
  <c r="F6844" i="87"/>
  <c r="F682" i="87"/>
  <c r="F730" i="87"/>
  <c r="F5337" i="87"/>
  <c r="F7714" i="87"/>
  <c r="F6333" i="87"/>
  <c r="F922" i="87"/>
  <c r="F5003" i="87"/>
  <c r="F6917" i="87"/>
  <c r="F7636" i="87"/>
  <c r="F5680" i="87"/>
  <c r="F719" i="87"/>
  <c r="F6381" i="87"/>
  <c r="F7658" i="87"/>
  <c r="F6196" i="87"/>
  <c r="F2934" i="87"/>
  <c r="F7724" i="87"/>
  <c r="F6823" i="87"/>
  <c r="F5289" i="87"/>
  <c r="F55" i="87"/>
  <c r="F7717" i="87"/>
  <c r="F909" i="87"/>
  <c r="F6094" i="87"/>
  <c r="F7852" i="87"/>
  <c r="E7852" i="87" s="1"/>
  <c r="F939" i="87"/>
  <c r="F5868" i="87"/>
  <c r="F5734" i="87"/>
  <c r="F2742" i="87"/>
  <c r="F5297" i="87"/>
  <c r="F5635" i="87"/>
  <c r="F6941" i="87"/>
  <c r="F7583" i="87"/>
  <c r="F4392" i="87"/>
  <c r="F5052" i="87"/>
  <c r="F6349" i="87"/>
  <c r="F3027" i="87"/>
  <c r="F6133" i="87"/>
  <c r="F5863" i="87"/>
  <c r="F7506" i="87"/>
  <c r="F6604" i="87"/>
  <c r="F7477" i="87"/>
  <c r="F7865" i="87"/>
  <c r="E7865" i="87" s="1"/>
  <c r="F6120" i="87"/>
  <c r="F1350" i="87"/>
  <c r="F6141" i="87"/>
  <c r="F720" i="87"/>
  <c r="F5008" i="87"/>
  <c r="F5042" i="87"/>
  <c r="F7331" i="87"/>
  <c r="F5636" i="87"/>
  <c r="F5335" i="87"/>
  <c r="F153" i="87"/>
  <c r="F7399" i="87"/>
  <c r="F5038" i="87"/>
  <c r="F6273" i="87"/>
  <c r="F6192" i="87"/>
  <c r="F6124" i="87"/>
  <c r="F6619" i="87"/>
  <c r="F4281" i="87"/>
  <c r="F5044" i="87"/>
  <c r="F3319" i="87"/>
  <c r="F7021" i="87"/>
  <c r="F6279" i="87"/>
  <c r="F808" i="87"/>
  <c r="F5407" i="87"/>
  <c r="F7429" i="87"/>
  <c r="F6834" i="87"/>
  <c r="F6573" i="87"/>
  <c r="F860" i="87"/>
  <c r="F4752" i="87"/>
  <c r="F5455" i="87"/>
  <c r="F3592" i="87"/>
  <c r="F5024" i="87"/>
  <c r="F5467" i="87"/>
  <c r="F7530" i="87"/>
  <c r="F5500" i="87"/>
  <c r="F7522" i="87"/>
  <c r="F6388" i="87"/>
  <c r="F6852" i="87"/>
  <c r="F7738" i="87"/>
  <c r="F5224" i="87"/>
  <c r="F6734" i="87"/>
  <c r="F4971" i="87"/>
  <c r="F7401" i="87"/>
  <c r="F5871" i="87"/>
  <c r="F7385" i="87"/>
  <c r="F888" i="87"/>
  <c r="F4304" i="87"/>
  <c r="F6950" i="87"/>
  <c r="F2775" i="87"/>
  <c r="F7651" i="87"/>
  <c r="F1257" i="87"/>
  <c r="F3589" i="87"/>
  <c r="F5617" i="87"/>
  <c r="F2776" i="87"/>
  <c r="F5285" i="87"/>
  <c r="F6872" i="87"/>
  <c r="F6871" i="87"/>
  <c r="F7416" i="87"/>
  <c r="F3310" i="87"/>
  <c r="F6866" i="87"/>
  <c r="F7593" i="87"/>
  <c r="F562" i="87"/>
  <c r="F7025" i="87"/>
  <c r="F6707" i="87"/>
  <c r="F6076" i="87"/>
  <c r="F2900" i="87"/>
  <c r="F2891" i="87"/>
  <c r="F6919" i="87"/>
  <c r="F6837" i="87"/>
  <c r="F1372" i="87"/>
  <c r="F6728" i="87"/>
  <c r="F2894" i="87"/>
  <c r="F22" i="87"/>
  <c r="F6797" i="87"/>
  <c r="F1589" i="87"/>
  <c r="F3315" i="87"/>
  <c r="F7347" i="87"/>
  <c r="F957" i="87"/>
  <c r="F1163" i="87"/>
  <c r="F6792" i="87"/>
  <c r="F967" i="87"/>
  <c r="F6865" i="87"/>
  <c r="F807" i="87"/>
  <c r="F3333" i="87"/>
  <c r="F6414" i="87"/>
  <c r="F6286" i="87"/>
  <c r="F5511" i="87"/>
  <c r="F3606" i="87"/>
  <c r="F6737" i="87"/>
  <c r="F147" i="87"/>
  <c r="F742" i="87"/>
  <c r="F5598" i="87"/>
  <c r="F6190" i="87"/>
  <c r="F7425" i="87"/>
  <c r="F6224" i="87"/>
  <c r="F7850" i="87"/>
  <c r="E7850" i="87" s="1"/>
  <c r="F6191" i="87"/>
  <c r="F1393" i="87"/>
  <c r="F6396" i="87"/>
  <c r="F6889" i="87"/>
  <c r="F6987" i="87"/>
  <c r="F6858" i="87"/>
  <c r="F6900" i="87"/>
  <c r="F5929" i="87"/>
  <c r="F4866" i="87"/>
  <c r="F6800" i="87"/>
  <c r="F6276" i="87"/>
  <c r="F7623" i="87"/>
  <c r="F5468" i="87"/>
  <c r="F7518" i="87"/>
  <c r="F724" i="87"/>
  <c r="F6042" i="87"/>
  <c r="F7611" i="87"/>
  <c r="F5672" i="87"/>
  <c r="F4968" i="87"/>
  <c r="F6667" i="87"/>
  <c r="F7492" i="87"/>
  <c r="F7704" i="87"/>
  <c r="F5609" i="87"/>
  <c r="F6084" i="87"/>
  <c r="F7470" i="87"/>
  <c r="F6926" i="87"/>
  <c r="F4300" i="87"/>
  <c r="F802" i="87"/>
  <c r="F6151" i="87"/>
  <c r="F6873" i="87"/>
  <c r="F4363" i="87"/>
  <c r="F6031" i="87"/>
  <c r="F5675" i="87"/>
  <c r="F1383" i="87"/>
  <c r="F1358" i="87"/>
  <c r="F7676" i="87"/>
  <c r="F5199" i="87"/>
  <c r="F4289" i="87"/>
  <c r="F6017" i="87"/>
  <c r="F1496" i="87"/>
  <c r="F5041" i="87"/>
  <c r="F6993" i="87"/>
  <c r="F97" i="87"/>
  <c r="F6099" i="87"/>
  <c r="F7861" i="87"/>
  <c r="E7861" i="87" s="1"/>
  <c r="F6418" i="87"/>
  <c r="F7670" i="87"/>
  <c r="F7610" i="87"/>
  <c r="F85" i="87"/>
  <c r="F6181" i="87"/>
  <c r="F2745" i="87"/>
  <c r="F6049" i="87"/>
  <c r="F3008" i="87"/>
  <c r="F6045" i="87"/>
  <c r="F795" i="87"/>
  <c r="F6230" i="87"/>
  <c r="F6225" i="87"/>
  <c r="F897" i="87"/>
  <c r="F4286" i="87"/>
  <c r="F6215" i="87"/>
  <c r="F4159" i="87"/>
  <c r="F5060" i="87"/>
  <c r="F3001" i="87"/>
  <c r="F1469" i="87"/>
  <c r="F7694" i="87"/>
  <c r="F6318" i="87"/>
  <c r="F6829" i="87"/>
  <c r="F7359" i="87"/>
  <c r="F5187" i="87"/>
  <c r="F908" i="87"/>
  <c r="F7588" i="87"/>
  <c r="F5668" i="87"/>
  <c r="F4021" i="87"/>
  <c r="F753" i="87"/>
  <c r="F6975" i="87"/>
  <c r="F6948" i="87"/>
  <c r="F7431" i="87"/>
  <c r="F7501" i="87"/>
  <c r="F6899" i="87"/>
  <c r="F686" i="87"/>
  <c r="F7344" i="87"/>
  <c r="F7418" i="87"/>
  <c r="F7349" i="87"/>
  <c r="F5306" i="87"/>
  <c r="F7634" i="87"/>
  <c r="F2787" i="87"/>
  <c r="F4298" i="87"/>
  <c r="F7507" i="87"/>
  <c r="F995" i="87"/>
  <c r="F4058" i="87"/>
  <c r="F650" i="87"/>
  <c r="F1357" i="87"/>
  <c r="F6853" i="87"/>
  <c r="F925" i="87"/>
  <c r="F6134" i="87"/>
  <c r="F867" i="87"/>
  <c r="F4029" i="87"/>
  <c r="F7857" i="87"/>
  <c r="E7857" i="87" s="1"/>
  <c r="F7693" i="87"/>
  <c r="F5934" i="87"/>
  <c r="F7527" i="87"/>
  <c r="F6339" i="87"/>
  <c r="F4828" i="87"/>
  <c r="F7376" i="87"/>
  <c r="F7469" i="87"/>
  <c r="F1384" i="87"/>
  <c r="F1378" i="87"/>
  <c r="F2663" i="87"/>
  <c r="F7599" i="87"/>
  <c r="F5291" i="87"/>
  <c r="F4320" i="87"/>
  <c r="F6942" i="87"/>
  <c r="F6289" i="87"/>
  <c r="F6029" i="87"/>
  <c r="F1212" i="87"/>
  <c r="F6714" i="87"/>
  <c r="F5272" i="87"/>
  <c r="F6308" i="87"/>
  <c r="F7353" i="87"/>
  <c r="F7471" i="87"/>
  <c r="F7340" i="87"/>
  <c r="F665" i="87"/>
  <c r="F7624" i="87"/>
  <c r="F990" i="87"/>
  <c r="F5314" i="87"/>
  <c r="F874" i="87"/>
  <c r="F3024" i="87"/>
  <c r="F7604" i="87"/>
  <c r="F5070" i="87"/>
  <c r="F6330" i="87"/>
  <c r="F3525" i="87"/>
  <c r="F6726" i="87"/>
  <c r="F7677" i="87"/>
  <c r="F37" i="87"/>
  <c r="F5440" i="87"/>
  <c r="F6050" i="87"/>
  <c r="F6765" i="87"/>
  <c r="F5851" i="87"/>
  <c r="F7650" i="87"/>
  <c r="F6680" i="87"/>
  <c r="F5219" i="87"/>
  <c r="F853" i="87"/>
  <c r="F6296" i="87"/>
  <c r="F6389" i="87"/>
  <c r="F6633" i="87"/>
  <c r="F5832" i="87"/>
  <c r="F5259" i="87"/>
  <c r="F3312" i="87"/>
  <c r="F5295" i="87"/>
  <c r="F6940" i="87"/>
  <c r="F1204" i="87"/>
  <c r="F6101" i="87"/>
  <c r="F7326" i="87"/>
  <c r="F6167" i="87"/>
  <c r="F756" i="87"/>
  <c r="F5735" i="87"/>
  <c r="F3523" i="87"/>
  <c r="F1487" i="87"/>
  <c r="F7616" i="87"/>
  <c r="F6611" i="87"/>
  <c r="F6761" i="87"/>
  <c r="F670" i="87"/>
  <c r="F4391" i="87"/>
  <c r="F6366" i="87"/>
  <c r="F6773" i="87"/>
  <c r="F7458" i="87"/>
  <c r="F4760" i="87"/>
  <c r="F3241" i="87"/>
  <c r="F7529" i="87"/>
  <c r="F3317" i="87"/>
  <c r="F5616" i="87"/>
  <c r="F6008" i="87"/>
  <c r="F5083" i="87"/>
  <c r="F2769" i="87"/>
  <c r="F2765" i="87"/>
  <c r="F7848" i="87"/>
  <c r="E7848" i="87" s="1"/>
  <c r="F6932" i="87"/>
  <c r="F6764" i="87"/>
  <c r="F953" i="87"/>
  <c r="F6282" i="87"/>
  <c r="F6682" i="87"/>
  <c r="F6748" i="87"/>
  <c r="F6897" i="87"/>
  <c r="F6901" i="87"/>
  <c r="F7511" i="87"/>
  <c r="F6924" i="87"/>
  <c r="F1478" i="87"/>
  <c r="F4280" i="87"/>
  <c r="F5319" i="87"/>
  <c r="F6793" i="87"/>
  <c r="F5522" i="87"/>
  <c r="F1179" i="87"/>
  <c r="F5673" i="87"/>
  <c r="F4295" i="87"/>
  <c r="F5997" i="87"/>
  <c r="F6753" i="87"/>
  <c r="F6683" i="87"/>
  <c r="F6385" i="87"/>
  <c r="F5281" i="87"/>
  <c r="F5472" i="87"/>
  <c r="F6845" i="87"/>
  <c r="F7854" i="87"/>
  <c r="E7854" i="87" s="1"/>
  <c r="F4741" i="87"/>
  <c r="F7351" i="87"/>
  <c r="F6867" i="87"/>
  <c r="F6747" i="87"/>
  <c r="F6722" i="87"/>
  <c r="F19" i="87"/>
  <c r="F7337" i="87"/>
  <c r="F1376" i="87"/>
  <c r="F6689" i="87"/>
  <c r="F7485" i="87"/>
  <c r="F798" i="87"/>
  <c r="F4862" i="87"/>
  <c r="F5545" i="87"/>
  <c r="F4296" i="87"/>
  <c r="F6166" i="87"/>
  <c r="F857" i="87"/>
  <c r="F5550" i="87"/>
  <c r="F6174" i="87"/>
  <c r="F7700" i="87"/>
  <c r="F5298" i="87"/>
  <c r="F3180" i="87"/>
  <c r="F6717" i="87"/>
  <c r="F824" i="87"/>
  <c r="F7335" i="87"/>
  <c r="F5000" i="87"/>
  <c r="F7659" i="87"/>
  <c r="F6122" i="87"/>
  <c r="F6325" i="87"/>
  <c r="F7875" i="87"/>
  <c r="E7875" i="87" s="1"/>
  <c r="F1279" i="87"/>
  <c r="F5305" i="87"/>
  <c r="F1173" i="87"/>
  <c r="F732" i="87"/>
  <c r="F5020" i="87"/>
  <c r="F6108" i="87"/>
  <c r="F6730" i="87"/>
  <c r="F4326" i="87"/>
  <c r="F4172" i="87"/>
  <c r="F6757" i="87"/>
  <c r="F6607" i="87"/>
  <c r="F5823" i="87"/>
  <c r="F5296" i="87"/>
  <c r="F6892" i="87"/>
  <c r="F7464" i="87"/>
  <c r="F7512" i="87"/>
  <c r="F683" i="87"/>
  <c r="F7383" i="87"/>
  <c r="F970" i="87"/>
  <c r="F4260" i="87"/>
  <c r="F6976" i="87"/>
  <c r="F6686" i="87"/>
  <c r="F5505" i="87"/>
  <c r="F5012" i="87"/>
  <c r="F5945" i="87"/>
  <c r="F893" i="87"/>
  <c r="F2788" i="87"/>
  <c r="F4360" i="87"/>
  <c r="F6716" i="87"/>
  <c r="F2764" i="87"/>
  <c r="F4738" i="87"/>
  <c r="F2942" i="87"/>
  <c r="F6936" i="87"/>
  <c r="F149" i="87"/>
  <c r="F3578" i="87"/>
  <c r="F7495" i="87"/>
  <c r="F6705" i="87"/>
  <c r="F1189" i="87"/>
  <c r="F778" i="87"/>
  <c r="F881" i="87"/>
  <c r="F7660" i="87"/>
  <c r="F2667" i="87"/>
  <c r="F6488" i="87"/>
  <c r="F7603" i="87"/>
  <c r="F738" i="87"/>
  <c r="F6521" i="87"/>
  <c r="F6725" i="87"/>
  <c r="F6238" i="87"/>
  <c r="F6798" i="87"/>
  <c r="F5869" i="87"/>
  <c r="F6226" i="87"/>
  <c r="F731" i="87"/>
  <c r="F6735" i="87"/>
  <c r="F2713" i="87"/>
  <c r="F7497" i="87"/>
  <c r="F7696" i="87"/>
  <c r="F7602" i="87"/>
  <c r="F6694" i="87"/>
  <c r="F5078" i="87"/>
  <c r="F6326" i="87"/>
  <c r="F785" i="87"/>
  <c r="F6208" i="87"/>
  <c r="F6010" i="87"/>
  <c r="F5530" i="87"/>
  <c r="F7546" i="87"/>
  <c r="F1197" i="87"/>
  <c r="F666" i="87"/>
  <c r="F6758" i="87"/>
  <c r="F6065" i="87"/>
  <c r="F4754" i="87"/>
  <c r="F6271" i="87"/>
  <c r="F3026" i="87"/>
  <c r="F5983" i="87"/>
  <c r="F7532" i="87"/>
  <c r="F7459" i="87"/>
  <c r="F6597" i="87"/>
  <c r="F6880" i="87"/>
  <c r="F737" i="87"/>
  <c r="F7864" i="87"/>
  <c r="E7864" i="87" s="1"/>
  <c r="F4274" i="87"/>
  <c r="F7579" i="87"/>
  <c r="F7333" i="87"/>
  <c r="F6152" i="87"/>
  <c r="F816" i="87"/>
  <c r="F6298" i="87"/>
  <c r="F7397" i="87"/>
  <c r="F3332" i="87"/>
  <c r="F5797" i="87"/>
  <c r="F7402" i="87"/>
  <c r="F892" i="87"/>
  <c r="F4258" i="87"/>
  <c r="F5534" i="87"/>
  <c r="F1285" i="87"/>
  <c r="F5125" i="87"/>
  <c r="F23" i="87"/>
  <c r="F2901" i="87"/>
  <c r="F6672" i="87"/>
  <c r="F5935" i="87"/>
  <c r="F842" i="87"/>
  <c r="F6255" i="87"/>
  <c r="F7456" i="87"/>
  <c r="F847" i="87"/>
  <c r="F6815" i="87"/>
  <c r="F1180" i="87"/>
  <c r="F958" i="87"/>
  <c r="F6064" i="87"/>
  <c r="F6643" i="87"/>
  <c r="F789" i="87"/>
  <c r="F3583" i="87"/>
  <c r="F7581" i="87"/>
  <c r="F4023" i="87"/>
  <c r="F1493" i="87"/>
  <c r="F6016" i="87"/>
  <c r="F5729" i="87"/>
  <c r="F2893" i="87"/>
  <c r="F7503" i="87"/>
  <c r="F6193" i="87"/>
  <c r="F5280" i="87"/>
  <c r="F6806" i="87"/>
  <c r="F7440" i="87"/>
  <c r="F5524" i="87"/>
  <c r="F5984" i="87"/>
  <c r="F6524" i="87"/>
  <c r="F6749" i="87"/>
  <c r="F6126" i="87"/>
  <c r="F975" i="87"/>
  <c r="F7528" i="87"/>
  <c r="F4319" i="87"/>
  <c r="F6848" i="87"/>
  <c r="F6795" i="87"/>
  <c r="F1389" i="87"/>
  <c r="F6783" i="87"/>
  <c r="F766" i="87"/>
  <c r="F851" i="87"/>
  <c r="F5654" i="87"/>
  <c r="F792" i="87"/>
  <c r="F6009" i="87"/>
  <c r="F7552" i="87"/>
  <c r="F143" i="87"/>
  <c r="F840" i="87"/>
  <c r="F7668" i="87"/>
  <c r="F6172" i="87"/>
  <c r="F3597" i="87"/>
  <c r="F734" i="87"/>
  <c r="F5121" i="87"/>
  <c r="F2903" i="87"/>
  <c r="F2941" i="87"/>
  <c r="F2751" i="87"/>
  <c r="F914" i="87"/>
  <c r="F6464" i="87"/>
  <c r="F5999" i="87"/>
  <c r="F7630" i="87"/>
  <c r="F1367" i="87"/>
  <c r="F5865" i="87"/>
  <c r="F7740" i="87"/>
  <c r="F6818" i="87"/>
  <c r="F7669" i="87"/>
  <c r="F6149" i="87"/>
  <c r="F7741" i="87"/>
  <c r="F905" i="87"/>
  <c r="F1395" i="87"/>
  <c r="F5603" i="87"/>
  <c r="F31" i="87"/>
  <c r="F6846" i="87"/>
  <c r="F5245" i="87"/>
  <c r="F103" i="87"/>
  <c r="F7577" i="87"/>
  <c r="F1172" i="87"/>
  <c r="F6884" i="87"/>
  <c r="F7489" i="87"/>
  <c r="F3426" i="87"/>
  <c r="F4256" i="87"/>
  <c r="F7597" i="87"/>
  <c r="F848" i="87"/>
  <c r="F7498" i="87"/>
  <c r="F5051" i="87"/>
  <c r="F5030" i="87"/>
  <c r="F265" i="87"/>
  <c r="F3313" i="87"/>
  <c r="F982" i="87"/>
  <c r="F5762" i="87"/>
  <c r="F5022" i="87"/>
  <c r="F7444" i="87"/>
  <c r="F4306" i="87"/>
  <c r="F7491" i="87"/>
  <c r="F6021" i="87"/>
  <c r="F6345" i="87"/>
  <c r="F5303" i="87"/>
  <c r="F6138" i="87"/>
  <c r="F4171" i="87"/>
  <c r="F6921" i="87"/>
  <c r="F5529" i="87"/>
  <c r="F67" i="87"/>
  <c r="F5111" i="87"/>
  <c r="F3203" i="87"/>
  <c r="F6751" i="87"/>
  <c r="F6135" i="87"/>
  <c r="F3564" i="87"/>
  <c r="F6799" i="87"/>
  <c r="F1316" i="87"/>
  <c r="F7434" i="87"/>
  <c r="F5686" i="87"/>
  <c r="F3369" i="87"/>
  <c r="F700" i="87"/>
  <c r="F5200" i="87"/>
  <c r="F865" i="87"/>
  <c r="F2937" i="87"/>
  <c r="F6261" i="87"/>
  <c r="F4336" i="87"/>
  <c r="F3524" i="87"/>
  <c r="F5284" i="87"/>
  <c r="F4062" i="87"/>
  <c r="F7547" i="87"/>
  <c r="F6674" i="87"/>
  <c r="F6069" i="87"/>
  <c r="F7585" i="87"/>
  <c r="F5063" i="87"/>
  <c r="F132" i="87"/>
  <c r="F6068" i="87"/>
  <c r="F269" i="87"/>
  <c r="F790" i="87"/>
  <c r="F6163" i="87"/>
  <c r="F7641" i="87"/>
  <c r="F6022" i="87"/>
  <c r="F2924" i="87"/>
  <c r="F5682" i="87"/>
  <c r="F4740" i="87"/>
  <c r="F4799" i="87"/>
  <c r="F5001" i="87"/>
  <c r="F3430" i="87"/>
  <c r="F6171" i="87"/>
  <c r="F6949" i="87"/>
  <c r="F3358" i="87"/>
  <c r="F7505" i="87"/>
  <c r="F6755" i="87"/>
  <c r="F6237" i="87"/>
  <c r="F6139" i="87"/>
  <c r="F2669" i="87"/>
  <c r="F6813" i="87"/>
  <c r="F5799" i="87"/>
  <c r="F707" i="87"/>
  <c r="F6051" i="87"/>
  <c r="F3178" i="87"/>
  <c r="F837" i="87"/>
  <c r="F4322" i="87"/>
  <c r="F856" i="87"/>
  <c r="F4831" i="87"/>
  <c r="F4282" i="87"/>
  <c r="F4970" i="87"/>
  <c r="F5456" i="87"/>
  <c r="F4288" i="87"/>
  <c r="F5519" i="87"/>
  <c r="F6687" i="87"/>
  <c r="F1366" i="87"/>
  <c r="F676" i="87"/>
  <c r="F6087" i="87"/>
  <c r="F5665" i="87"/>
  <c r="F1304" i="87"/>
  <c r="F5861" i="87"/>
  <c r="F4743" i="87"/>
  <c r="F7413" i="87"/>
  <c r="F7334" i="87"/>
  <c r="F6222" i="87"/>
  <c r="F4123" i="87"/>
  <c r="F6086" i="87"/>
  <c r="F2704" i="87"/>
  <c r="F7405" i="87"/>
  <c r="F2750" i="87"/>
  <c r="F6401" i="87"/>
  <c r="F882" i="87"/>
  <c r="F6353" i="87"/>
  <c r="F7007" i="87"/>
  <c r="F4313" i="87"/>
  <c r="F6807" i="87"/>
  <c r="F3321" i="87"/>
  <c r="F7646" i="87"/>
  <c r="F4797" i="87"/>
  <c r="F6939" i="87"/>
  <c r="F7556" i="87"/>
  <c r="F6162" i="87"/>
  <c r="F4335" i="87"/>
  <c r="F6778" i="87"/>
  <c r="F3239" i="87"/>
  <c r="F4351" i="87"/>
  <c r="F6341" i="87"/>
  <c r="F976" i="87"/>
  <c r="F6787" i="87"/>
  <c r="F6136" i="87"/>
  <c r="F6071" i="87"/>
  <c r="F6351" i="87"/>
  <c r="F6883" i="87"/>
  <c r="F7023" i="87"/>
  <c r="F7720" i="87"/>
  <c r="F3366" i="87"/>
  <c r="F6938" i="87"/>
  <c r="F4161" i="87"/>
  <c r="F6287" i="87"/>
  <c r="F5131" i="87"/>
  <c r="F2036" i="87"/>
  <c r="F918" i="87"/>
  <c r="F4830" i="87"/>
  <c r="F596" i="87"/>
  <c r="F2943" i="87"/>
  <c r="F7379" i="87"/>
  <c r="F6608" i="87"/>
  <c r="F3265" i="87"/>
  <c r="F4890" i="87"/>
  <c r="F7544" i="87"/>
  <c r="F7712" i="87"/>
  <c r="F5563" i="87"/>
  <c r="F5039" i="87"/>
  <c r="F6118" i="87"/>
  <c r="F5469" i="87"/>
  <c r="F7727" i="87"/>
  <c r="F6114" i="87"/>
  <c r="F7462" i="87"/>
  <c r="F940" i="87"/>
  <c r="F4287" i="87"/>
  <c r="F6474" i="87"/>
  <c r="F3219" i="87"/>
  <c r="F4136" i="87"/>
  <c r="F7838" i="87"/>
  <c r="F5339" i="87"/>
  <c r="F5466" i="87"/>
  <c r="F7451" i="87"/>
  <c r="F6985" i="87"/>
  <c r="F6628" i="87"/>
  <c r="F5819" i="87"/>
  <c r="F6484" i="87"/>
  <c r="F5507" i="87"/>
  <c r="F2757" i="87"/>
  <c r="F7414" i="87"/>
  <c r="F667" i="87"/>
  <c r="F7862" i="87"/>
  <c r="E7862" i="87" s="1"/>
  <c r="F6677" i="87"/>
  <c r="F2766" i="87"/>
  <c r="F5092" i="87"/>
  <c r="F1259" i="87"/>
  <c r="F5510" i="87"/>
  <c r="F5821" i="87"/>
  <c r="F4174" i="87"/>
  <c r="F7325" i="87"/>
  <c r="F662" i="87"/>
  <c r="F6803" i="87"/>
  <c r="F5287" i="87"/>
  <c r="F1369" i="87"/>
  <c r="F6785" i="87"/>
  <c r="F6723" i="87"/>
  <c r="F6770" i="87"/>
  <c r="F5701" i="87"/>
  <c r="F7643" i="87"/>
  <c r="F5061" i="87"/>
  <c r="F7521" i="87"/>
  <c r="F5429" i="87"/>
  <c r="F844" i="87"/>
  <c r="F1617" i="87"/>
  <c r="F7536" i="87"/>
  <c r="F3331" i="87"/>
  <c r="F6027" i="87"/>
  <c r="F6236" i="87"/>
  <c r="F7475" i="87"/>
  <c r="F6142" i="87"/>
  <c r="F6703" i="87"/>
  <c r="F7708" i="87"/>
  <c r="F6746" i="87"/>
  <c r="F7549" i="87"/>
  <c r="F6132" i="87"/>
  <c r="F6201" i="87"/>
  <c r="F6733" i="87"/>
  <c r="F698" i="87"/>
  <c r="F4030" i="87"/>
  <c r="F3478" i="87"/>
  <c r="F6920" i="87"/>
  <c r="F5403" i="87"/>
  <c r="F6379" i="87"/>
  <c r="F4757" i="87"/>
  <c r="F7752" i="87"/>
  <c r="F6876" i="87"/>
  <c r="F6007" i="87"/>
  <c r="F6164" i="87"/>
  <c r="F1375" i="87"/>
  <c r="F6110" i="87"/>
  <c r="F5331" i="87"/>
  <c r="F7554" i="87"/>
  <c r="F6671" i="87"/>
  <c r="F7627" i="87"/>
  <c r="F7332" i="87"/>
  <c r="F4324" i="87"/>
  <c r="F6959" i="87"/>
  <c r="F1255" i="87"/>
  <c r="F6772" i="87"/>
  <c r="F5709" i="87"/>
  <c r="F801" i="87"/>
  <c r="F7645" i="87"/>
  <c r="F7750" i="87"/>
  <c r="F4022" i="87"/>
  <c r="F3028" i="87"/>
  <c r="F6868" i="87"/>
  <c r="F6195" i="87"/>
  <c r="F6862" i="87"/>
  <c r="F6176" i="87"/>
  <c r="F5282" i="87"/>
  <c r="F1181" i="87"/>
  <c r="F781" i="87"/>
  <c r="F6732" i="87"/>
  <c r="F5818" i="87"/>
  <c r="F3569" i="87"/>
  <c r="F7392" i="87"/>
  <c r="F973" i="87"/>
  <c r="F444" i="87"/>
  <c r="F6267" i="87"/>
  <c r="F6000" i="87"/>
  <c r="F6161" i="87"/>
  <c r="F7452" i="87"/>
  <c r="F5683" i="87"/>
  <c r="F983" i="87"/>
  <c r="F7338" i="87"/>
  <c r="F7874" i="87"/>
  <c r="E7874" i="87" s="1"/>
  <c r="F4365" i="87"/>
  <c r="F6313" i="87"/>
  <c r="F264" i="87"/>
  <c r="F7621" i="87"/>
  <c r="F7637" i="87"/>
  <c r="F3114" i="87"/>
  <c r="F6487" i="87"/>
  <c r="F6882" i="87"/>
  <c r="F7733" i="87"/>
  <c r="F6259" i="87"/>
  <c r="F6679" i="87"/>
  <c r="F7520" i="87"/>
  <c r="F6046" i="87"/>
  <c r="F1164" i="87"/>
  <c r="F6776" i="87"/>
  <c r="F4956" i="87"/>
  <c r="F6035" i="87"/>
  <c r="F5802" i="87"/>
  <c r="F6247" i="87"/>
  <c r="F6739" i="87"/>
  <c r="F6958" i="87"/>
  <c r="F1176" i="87"/>
  <c r="F5115" i="87"/>
  <c r="F6280" i="87"/>
  <c r="F5678" i="87"/>
  <c r="F911" i="87"/>
  <c r="F6979" i="87"/>
  <c r="F2665" i="87"/>
  <c r="F7408" i="87"/>
  <c r="F52" i="87"/>
  <c r="F1307" i="87"/>
  <c r="F955" i="87"/>
  <c r="F7415" i="87"/>
  <c r="F4749" i="87"/>
  <c r="F7680" i="87"/>
  <c r="F6372" i="87"/>
  <c r="F1481" i="87"/>
  <c r="F6304" i="87"/>
  <c r="F3601" i="87"/>
  <c r="F7412" i="87"/>
  <c r="F6380" i="87"/>
  <c r="F5018" i="87"/>
  <c r="F7582" i="87"/>
  <c r="F5107" i="87"/>
  <c r="F7837" i="87"/>
  <c r="F5829" i="87"/>
  <c r="F6311" i="87"/>
  <c r="F6720" i="87"/>
  <c r="F5723" i="87"/>
  <c r="F6148" i="87"/>
  <c r="F6178" i="87"/>
  <c r="F5345" i="87"/>
  <c r="F6081" i="87"/>
  <c r="F1364" i="87"/>
  <c r="F6001" i="87"/>
  <c r="F5184" i="87"/>
  <c r="F6673" i="87"/>
  <c r="F7400" i="87"/>
  <c r="F6631" i="87"/>
  <c r="F5698" i="87"/>
  <c r="F7445" i="87"/>
  <c r="F5975" i="87"/>
  <c r="F2736" i="87"/>
  <c r="F946" i="87"/>
  <c r="F6154" i="87"/>
  <c r="F6645" i="87"/>
  <c r="F7543" i="87"/>
  <c r="F1355" i="87"/>
  <c r="F3474" i="87"/>
  <c r="F1282" i="87"/>
  <c r="F5860" i="87"/>
  <c r="F6316" i="87"/>
  <c r="F6769" i="87"/>
  <c r="F6321" i="87"/>
  <c r="F6347" i="87"/>
  <c r="F899" i="87"/>
  <c r="F4321" i="87"/>
  <c r="F5569" i="87"/>
  <c r="F6956" i="87"/>
  <c r="F6095" i="87"/>
  <c r="F6903" i="87"/>
  <c r="F7685" i="87"/>
  <c r="F6802" i="87"/>
  <c r="F7664" i="87"/>
  <c r="F5508" i="87"/>
  <c r="F6681" i="87"/>
  <c r="F5930" i="87"/>
  <c r="F7687" i="87"/>
  <c r="F6397" i="87"/>
  <c r="F7716" i="87"/>
  <c r="F7566" i="87"/>
  <c r="F7856" i="87"/>
  <c r="E7856" i="87" s="1"/>
  <c r="F6102" i="87"/>
  <c r="F7666" i="87"/>
  <c r="F5002" i="87"/>
  <c r="F788" i="87"/>
  <c r="F6106" i="87"/>
  <c r="F6825" i="87"/>
  <c r="F7679" i="87"/>
  <c r="F6736" i="87"/>
  <c r="F6970" i="87"/>
  <c r="F7012" i="87"/>
  <c r="F6070" i="87"/>
  <c r="F1310" i="87"/>
  <c r="F7715" i="87"/>
  <c r="F7028" i="87"/>
  <c r="F6036" i="87"/>
  <c r="F7483" i="87"/>
  <c r="F7626" i="87"/>
  <c r="F841" i="87"/>
  <c r="F6982" i="87"/>
  <c r="F4829" i="87"/>
  <c r="F6217" i="87"/>
  <c r="F26" i="87"/>
  <c r="F2768" i="87"/>
  <c r="F159" i="87"/>
  <c r="F6842" i="87"/>
  <c r="F895" i="87"/>
  <c r="F786" i="87"/>
  <c r="F6111" i="87"/>
  <c r="F7574" i="87"/>
  <c r="F5067" i="87"/>
  <c r="F7381" i="87"/>
  <c r="F6934" i="87"/>
  <c r="F7479" i="87"/>
  <c r="F6150" i="87"/>
  <c r="F660" i="87"/>
  <c r="F3596" i="87"/>
  <c r="F6745" i="87"/>
  <c r="F6943" i="87"/>
  <c r="F6117" i="87"/>
  <c r="F7560" i="87"/>
  <c r="F6140" i="87"/>
  <c r="F7654" i="87"/>
  <c r="F6077" i="87"/>
  <c r="F4257" i="87"/>
  <c r="F6146" i="87"/>
  <c r="F806" i="87"/>
  <c r="F6827" i="87"/>
  <c r="F927" i="87"/>
  <c r="F7732" i="87"/>
  <c r="F6678" i="87"/>
  <c r="F7355" i="87"/>
  <c r="F5186" i="87"/>
  <c r="F5537" i="87"/>
  <c r="F7513" i="87"/>
  <c r="F6104" i="87"/>
  <c r="F7354" i="87"/>
  <c r="F6767" i="87"/>
  <c r="F7868" i="87"/>
  <c r="E7868" i="87" s="1"/>
  <c r="F2770" i="87"/>
  <c r="F6878" i="87"/>
  <c r="F6365" i="87"/>
  <c r="F5828" i="87"/>
  <c r="F4826" i="87"/>
  <c r="F7635" i="87"/>
  <c r="F5866" i="87"/>
  <c r="F4283" i="87"/>
  <c r="F3562" i="87"/>
  <c r="F5788" i="87"/>
  <c r="F5045" i="87"/>
  <c r="F912" i="87"/>
  <c r="F5004" i="87"/>
  <c r="F2944" i="87"/>
  <c r="F3576" i="87"/>
  <c r="F5933" i="87"/>
  <c r="F6121" i="87"/>
  <c r="F4361" i="87"/>
  <c r="F6093" i="87"/>
  <c r="F6119" i="87"/>
  <c r="F4057" i="87"/>
  <c r="F74" i="87"/>
  <c r="F7362" i="87"/>
  <c r="F803" i="87"/>
  <c r="F7384" i="87"/>
  <c r="F7366" i="87"/>
  <c r="F7386" i="87"/>
  <c r="F1575" i="87"/>
  <c r="F5528" i="87"/>
  <c r="F7516" i="87"/>
  <c r="F6216" i="87"/>
  <c r="F68" i="87"/>
  <c r="F7441" i="87"/>
  <c r="F7403" i="87"/>
  <c r="F5375" i="87"/>
  <c r="F932" i="87"/>
  <c r="F2662" i="87"/>
  <c r="F750" i="87"/>
  <c r="F749" i="87"/>
  <c r="F7652" i="87"/>
  <c r="F5571" i="87"/>
  <c r="F5276" i="87"/>
  <c r="F2752" i="87"/>
  <c r="F5079" i="87"/>
  <c r="F6945" i="87"/>
  <c r="F6700" i="87"/>
  <c r="F799" i="87"/>
  <c r="F6408" i="87"/>
  <c r="F7375" i="87"/>
  <c r="F4061" i="87"/>
  <c r="F972" i="87"/>
  <c r="F157" i="87"/>
  <c r="F7607" i="87"/>
  <c r="F950" i="87"/>
  <c r="F6973" i="87"/>
  <c r="F4154" i="87"/>
  <c r="F3022" i="87"/>
  <c r="F6281" i="87"/>
  <c r="F7550" i="87"/>
  <c r="F155" i="87"/>
  <c r="F2895" i="87"/>
  <c r="F6243" i="87"/>
  <c r="F6775" i="87"/>
  <c r="F7722" i="87"/>
  <c r="F6885" i="87"/>
  <c r="F7473" i="87"/>
  <c r="F3527" i="87"/>
  <c r="F2666" i="87"/>
  <c r="F2940" i="87"/>
  <c r="F5290" i="87"/>
  <c r="F2897" i="87"/>
  <c r="F6724" i="87"/>
  <c r="F6712" i="87"/>
  <c r="F6047" i="87"/>
  <c r="F4364" i="87"/>
  <c r="F7686" i="87"/>
  <c r="F6977" i="87"/>
  <c r="F6322" i="87"/>
  <c r="F3023" i="87"/>
  <c r="F7538" i="87"/>
  <c r="F7707" i="87"/>
  <c r="F7851" i="87"/>
  <c r="E7851" i="87" s="1"/>
  <c r="F6583" i="87"/>
  <c r="F7620" i="87"/>
  <c r="F7872" i="87"/>
  <c r="E7872" i="87" s="1"/>
  <c r="F4259" i="87"/>
  <c r="F6955" i="87"/>
  <c r="F7662" i="87"/>
  <c r="F6854" i="87"/>
  <c r="F7488" i="87"/>
  <c r="F3217" i="87"/>
  <c r="F5990" i="87"/>
  <c r="F6088" i="87"/>
  <c r="F6462" i="87"/>
  <c r="F5408" i="87"/>
  <c r="F5502" i="87"/>
  <c r="F5256" i="87"/>
  <c r="F7846" i="87"/>
  <c r="E7846" i="87" s="1"/>
  <c r="F6893" i="87"/>
  <c r="F5366" i="87"/>
  <c r="F5864" i="87"/>
  <c r="F2999" i="87"/>
  <c r="F6812" i="87"/>
  <c r="F6738" i="87"/>
  <c r="F7035" i="87"/>
  <c r="F3311" i="87"/>
  <c r="F6290" i="87"/>
  <c r="F5932" i="87"/>
  <c r="F7380" i="87"/>
  <c r="F7596" i="87"/>
  <c r="F7598" i="87"/>
  <c r="F1313" i="87"/>
  <c r="F4338" i="87"/>
  <c r="F7367" i="87"/>
  <c r="F6058" i="87"/>
  <c r="F6147" i="87"/>
  <c r="F3318" i="87"/>
  <c r="F7580" i="87"/>
  <c r="F850" i="87"/>
  <c r="F6025" i="87"/>
  <c r="F6697" i="87"/>
  <c r="F4337" i="87"/>
  <c r="F823" i="87"/>
  <c r="F7713" i="87"/>
  <c r="F6786" i="87"/>
  <c r="F4261" i="87"/>
  <c r="F4297" i="87"/>
  <c r="F2938" i="87"/>
  <c r="F4796" i="87"/>
  <c r="F3371" i="87"/>
  <c r="F6285" i="87"/>
  <c r="F6294" i="87"/>
  <c r="F6038" i="87"/>
  <c r="F685" i="87"/>
  <c r="F4299" i="87"/>
  <c r="F4302" i="87"/>
  <c r="F1192" i="87"/>
  <c r="F7578" i="87"/>
  <c r="F2735" i="87"/>
  <c r="F3646" i="87"/>
  <c r="F7449" i="87"/>
  <c r="F2904" i="87"/>
  <c r="F7365" i="87"/>
  <c r="F6850" i="87"/>
  <c r="F5464" i="87"/>
  <c r="F6128" i="87"/>
  <c r="F7480" i="87"/>
  <c r="F7562" i="87"/>
  <c r="F2707" i="87"/>
  <c r="F7496" i="87"/>
  <c r="F6245" i="87"/>
  <c r="F3428" i="87"/>
  <c r="F3002" i="87"/>
  <c r="F4892" i="87"/>
  <c r="F6978" i="87"/>
  <c r="F6669" i="87"/>
  <c r="F4750" i="87"/>
  <c r="F7391" i="87"/>
  <c r="F6013" i="87"/>
  <c r="F7575" i="87"/>
  <c r="F7723" i="87"/>
  <c r="F923" i="87"/>
  <c r="F7390" i="87"/>
  <c r="F4253" i="87"/>
  <c r="F6207" i="87"/>
  <c r="F5055" i="87"/>
  <c r="F6988" i="87"/>
  <c r="F6037" i="87"/>
  <c r="F2933" i="87"/>
  <c r="F6701" i="87"/>
  <c r="F376" i="87"/>
  <c r="F6293" i="87"/>
  <c r="F5288" i="87"/>
  <c r="F5561" i="87"/>
  <c r="F6915" i="87"/>
  <c r="F7710" i="87"/>
  <c r="F7537" i="87"/>
  <c r="F6219" i="87"/>
  <c r="F6804" i="87"/>
  <c r="F6984" i="87"/>
  <c r="F4860" i="87"/>
  <c r="F2771" i="87"/>
  <c r="F7737" i="87"/>
  <c r="F6520" i="87"/>
  <c r="F3000" i="87"/>
  <c r="F7540" i="87"/>
  <c r="F4124" i="87"/>
  <c r="F992" i="87"/>
  <c r="F7302" i="87"/>
  <c r="F4748" i="87"/>
  <c r="F43" i="87"/>
  <c r="F4305" i="87"/>
  <c r="F7638" i="87"/>
  <c r="F70" i="87"/>
  <c r="F784" i="87"/>
  <c r="F7642" i="87"/>
  <c r="F6727" i="87"/>
  <c r="F6838" i="87"/>
  <c r="F6718" i="87"/>
  <c r="F1214" i="87"/>
  <c r="F5766" i="87"/>
  <c r="F3476" i="87"/>
  <c r="F5608" i="87"/>
  <c r="F4143" i="87"/>
  <c r="F5461" i="87"/>
  <c r="F62" i="87"/>
  <c r="F6323" i="87"/>
  <c r="F4290" i="87"/>
  <c r="F1475" i="87"/>
  <c r="F7502" i="87"/>
  <c r="F3490" i="87"/>
  <c r="F906" i="87"/>
  <c r="F727" i="87"/>
  <c r="F7859" i="87"/>
  <c r="E7859" i="87" s="1"/>
  <c r="F5520" i="87"/>
  <c r="F6212" i="87"/>
  <c r="F6523" i="87"/>
  <c r="F7519" i="87"/>
  <c r="F6059" i="87"/>
  <c r="F7563" i="87"/>
  <c r="F6790" i="87"/>
  <c r="F2761" i="87"/>
  <c r="F5676" i="87"/>
  <c r="F673" i="87"/>
  <c r="F6011" i="87"/>
  <c r="F7357" i="87"/>
  <c r="F3004" i="87"/>
  <c r="F6888" i="87"/>
  <c r="F6794" i="87"/>
  <c r="F7374" i="87"/>
  <c r="F5544" i="87"/>
  <c r="F2923" i="87"/>
  <c r="F2784" i="87"/>
  <c r="F5086" i="87"/>
  <c r="F6696" i="87"/>
  <c r="F6153" i="87"/>
  <c r="F5767" i="87"/>
  <c r="F6082" i="87"/>
  <c r="F1373" i="87"/>
  <c r="F6426" i="87"/>
  <c r="F1363" i="87"/>
  <c r="F6083" i="87"/>
  <c r="F5058" i="87"/>
  <c r="F4859" i="87"/>
  <c r="F6918" i="87"/>
  <c r="F7569" i="87"/>
  <c r="F4135" i="87"/>
  <c r="F7372" i="87"/>
  <c r="F7465" i="87"/>
  <c r="F4864" i="87"/>
  <c r="F7508" i="87"/>
  <c r="F6692" i="87"/>
  <c r="F7568" i="87"/>
  <c r="F4362" i="87"/>
  <c r="F1165" i="87"/>
  <c r="F6275" i="87"/>
  <c r="F597" i="87"/>
  <c r="F1463" i="87"/>
  <c r="F6241" i="87"/>
  <c r="F6715" i="87"/>
  <c r="F6179" i="87"/>
  <c r="F872" i="87"/>
  <c r="F3568" i="87"/>
  <c r="F902" i="87"/>
  <c r="F5119" i="87"/>
  <c r="F6026" i="87"/>
  <c r="F6357" i="87"/>
  <c r="F7869" i="87"/>
  <c r="E7869" i="87" s="1"/>
  <c r="F2743" i="87"/>
  <c r="F5938" i="87"/>
  <c r="F7216" i="87"/>
  <c r="F6929" i="87"/>
  <c r="F6928" i="87"/>
  <c r="F2936" i="87"/>
  <c r="F4277" i="87"/>
  <c r="F2939" i="87"/>
  <c r="F5518" i="87"/>
  <c r="F7378" i="87"/>
  <c r="F5050" i="87"/>
  <c r="F7870" i="87"/>
  <c r="E7870" i="87" s="1"/>
  <c r="F7481" i="87"/>
  <c r="F7406" i="87"/>
  <c r="F5222" i="87"/>
  <c r="F6971" i="87"/>
  <c r="F6525" i="87"/>
  <c r="F6251" i="87"/>
  <c r="F960" i="87"/>
  <c r="F1206" i="87"/>
  <c r="F7709" i="87"/>
  <c r="F5368" i="87"/>
  <c r="F687" i="87"/>
  <c r="F6609" i="87"/>
  <c r="F6097" i="87"/>
  <c r="F5168" i="87"/>
  <c r="F4758" i="87"/>
  <c r="F6711" i="87"/>
  <c r="F5985" i="87"/>
  <c r="F5761" i="87"/>
  <c r="F7590" i="87"/>
  <c r="F7457" i="87"/>
  <c r="F6944" i="87"/>
  <c r="F2" i="87"/>
  <c r="F900" i="87"/>
  <c r="F6131" i="87"/>
  <c r="F6052" i="87"/>
  <c r="F5820" i="87"/>
  <c r="F6053" i="87"/>
  <c r="F7858" i="87"/>
  <c r="E7858" i="87" s="1"/>
  <c r="F6096" i="87"/>
  <c r="F7614" i="87"/>
  <c r="F3316" i="87"/>
  <c r="F5029" i="87"/>
  <c r="F445" i="87"/>
  <c r="F6902" i="87"/>
  <c r="F7435" i="87"/>
  <c r="F4028" i="87"/>
  <c r="F974" i="87"/>
  <c r="F898" i="87"/>
  <c r="F6214" i="87"/>
  <c r="F7010" i="87"/>
  <c r="F3582" i="87"/>
  <c r="F4353" i="87"/>
  <c r="F6710" i="87"/>
  <c r="F1631" i="87"/>
  <c r="F7026" i="87"/>
  <c r="F1209" i="87"/>
  <c r="F4027" i="87"/>
  <c r="F4312" i="87"/>
  <c r="F5028" i="87"/>
  <c r="F7744" i="87"/>
  <c r="F2741" i="87"/>
  <c r="F1195" i="87"/>
  <c r="F6105" i="87"/>
  <c r="F5301" i="87"/>
  <c r="F6338" i="87"/>
  <c r="F6777" i="87"/>
  <c r="F6931" i="87"/>
  <c r="F1370" i="87"/>
  <c r="F5742" i="87"/>
  <c r="F5804" i="87"/>
  <c r="F7847" i="87"/>
  <c r="E7847" i="87" s="1"/>
  <c r="F6361" i="87"/>
  <c r="F7558" i="87"/>
  <c r="F6887" i="87"/>
  <c r="F7672" i="87"/>
  <c r="F6278" i="87"/>
  <c r="F3647" i="87"/>
  <c r="F5816" i="87"/>
  <c r="F680" i="87"/>
  <c r="F5081" i="87"/>
  <c r="F6637" i="87"/>
  <c r="F1360" i="87"/>
  <c r="F6808" i="87"/>
  <c r="F7675" i="87"/>
  <c r="F39" i="87"/>
  <c r="F718" i="87"/>
  <c r="F7388" i="87"/>
  <c r="F7360" i="87"/>
  <c r="F6605" i="87"/>
  <c r="F6522" i="87"/>
  <c r="F7617" i="87"/>
  <c r="F7644" i="87"/>
  <c r="F4967" i="87"/>
  <c r="F7565" i="87"/>
  <c r="F7531" i="87"/>
  <c r="F6204" i="87"/>
  <c r="F6606" i="87"/>
  <c r="F962" i="87"/>
  <c r="F1381" i="87"/>
  <c r="F6034" i="87"/>
  <c r="F4715" i="87"/>
  <c r="F1362" i="87"/>
  <c r="F2899" i="87"/>
  <c r="F6912" i="87"/>
  <c r="F783" i="87"/>
  <c r="F6750" i="87"/>
  <c r="F6073" i="87"/>
  <c r="F7515" i="87"/>
  <c r="F861" i="87"/>
  <c r="F1359" i="87"/>
  <c r="F869" i="87"/>
  <c r="F691" i="87"/>
  <c r="F1377" i="87"/>
  <c r="F7439" i="87"/>
  <c r="F1391" i="87"/>
  <c r="F677" i="87"/>
  <c r="F6400" i="87"/>
  <c r="F866" i="87"/>
  <c r="F7029" i="87"/>
  <c r="F2925" i="87"/>
  <c r="F3475" i="87"/>
  <c r="F4019" i="87"/>
  <c r="F7427" i="87"/>
  <c r="F4957" i="87"/>
  <c r="F6869" i="87"/>
  <c r="F7561" i="87"/>
  <c r="F1315" i="87"/>
  <c r="F6937" i="87"/>
  <c r="F7358" i="87"/>
  <c r="F4809" i="87"/>
  <c r="F6295" i="87"/>
  <c r="F6843" i="87"/>
  <c r="F5941" i="87"/>
  <c r="F765" i="87"/>
  <c r="F7409" i="87"/>
  <c r="F1256" i="87"/>
  <c r="F7632" i="87"/>
  <c r="F7649" i="87"/>
  <c r="F7352" i="87"/>
  <c r="F6048" i="87"/>
  <c r="F725" i="87"/>
  <c r="F7030" i="87"/>
  <c r="F2792" i="87"/>
  <c r="F7034" i="87"/>
  <c r="F4705" i="87"/>
  <c r="F1168" i="87"/>
  <c r="F6229" i="87"/>
  <c r="F6630" i="87"/>
  <c r="F7600" i="87"/>
  <c r="F6826" i="87"/>
  <c r="F751" i="87"/>
  <c r="F4065" i="87"/>
  <c r="F4891" i="87"/>
  <c r="F2744" i="87"/>
  <c r="F6957" i="87"/>
  <c r="F6329" i="87"/>
  <c r="F7001" i="87"/>
  <c r="F7370" i="87"/>
  <c r="F5014" i="87"/>
  <c r="F3437" i="87"/>
  <c r="F5699" i="87"/>
  <c r="F7640" i="87"/>
  <c r="F5538" i="87"/>
  <c r="F663" i="87"/>
  <c r="F5831" i="87"/>
  <c r="F2716" i="87"/>
  <c r="F5525" i="87"/>
  <c r="F7619" i="87"/>
  <c r="F7533" i="87"/>
  <c r="F3195" i="87"/>
  <c r="F6820" i="87"/>
  <c r="F5037" i="87"/>
  <c r="F5223" i="87"/>
  <c r="F1353" i="87"/>
  <c r="F5513" i="87"/>
  <c r="F6091" i="87"/>
  <c r="F980" i="87"/>
  <c r="F6373" i="87"/>
  <c r="F894" i="87"/>
  <c r="F6908" i="87"/>
  <c r="F7455" i="87"/>
  <c r="F6202" i="87"/>
  <c r="F6376" i="87"/>
  <c r="F6972" i="87"/>
  <c r="F5666" i="87"/>
  <c r="F679" i="87"/>
  <c r="F7855" i="87"/>
  <c r="E7855" i="87" s="1"/>
  <c r="F7622" i="87"/>
  <c r="F6992" i="87"/>
  <c r="F4144" i="87"/>
  <c r="F6098" i="87"/>
  <c r="F7739" i="87"/>
  <c r="F744" i="87"/>
  <c r="F924" i="87"/>
  <c r="F6788" i="87"/>
  <c r="F684" i="87"/>
  <c r="F7689" i="87"/>
  <c r="F6782" i="87"/>
  <c r="F6473" i="87"/>
  <c r="F7361" i="87"/>
  <c r="F5138" i="87"/>
  <c r="F4059" i="87"/>
  <c r="F7368" i="87"/>
  <c r="F7728" i="87"/>
  <c r="F4276" i="87"/>
  <c r="F5473" i="87"/>
  <c r="F6685" i="87"/>
  <c r="F6359" i="87"/>
  <c r="F4359" i="87"/>
  <c r="F4888" i="87"/>
  <c r="F6855" i="87"/>
  <c r="F5942" i="87"/>
  <c r="F985" i="87"/>
  <c r="F776" i="87"/>
  <c r="F2898" i="87"/>
  <c r="F904" i="87"/>
  <c r="F5546" i="87"/>
  <c r="F4109" i="87"/>
  <c r="F7729" i="87"/>
  <c r="F6589" i="87"/>
  <c r="F6363" i="87"/>
  <c r="F3665" i="87"/>
  <c r="F6044" i="87"/>
  <c r="F36" i="87"/>
  <c r="F5025" i="87"/>
  <c r="F846" i="87"/>
  <c r="F952" i="87"/>
  <c r="F672" i="87"/>
  <c r="F6935" i="87"/>
  <c r="F7734" i="87"/>
  <c r="F5458" i="87"/>
  <c r="F3260" i="87"/>
  <c r="F4133" i="87"/>
  <c r="F7430" i="87"/>
  <c r="F6066" i="87"/>
  <c r="F6337" i="87"/>
  <c r="F6997" i="87"/>
  <c r="F6398" i="87"/>
  <c r="F6721" i="87"/>
  <c r="F7573" i="87"/>
  <c r="F6709" i="87"/>
  <c r="F6168" i="87"/>
  <c r="F758" i="87"/>
  <c r="F7336" i="87"/>
  <c r="F6744" i="87"/>
  <c r="F6074" i="87"/>
  <c r="F3561" i="87"/>
  <c r="F6752" i="87"/>
  <c r="F3521" i="87"/>
  <c r="F1382" i="87"/>
  <c r="F1254" i="87"/>
  <c r="F267" i="87"/>
  <c r="F6886" i="87"/>
  <c r="F7667" i="87"/>
  <c r="F6410" i="87"/>
  <c r="F4354" i="87"/>
  <c r="F6756" i="87"/>
  <c r="F7705" i="87"/>
  <c r="F4272" i="87"/>
  <c r="F3590" i="87"/>
  <c r="F6203" i="87"/>
  <c r="F4134" i="87"/>
  <c r="F5497" i="87"/>
  <c r="F564" i="87"/>
  <c r="F7472" i="87"/>
  <c r="F6875" i="87"/>
  <c r="F708" i="87"/>
  <c r="F7305" i="87"/>
  <c r="F6218" i="87"/>
  <c r="F6870" i="87"/>
  <c r="F7731" i="87"/>
  <c r="F7487" i="87"/>
  <c r="F6877" i="87"/>
  <c r="F1466" i="87"/>
  <c r="F959" i="87"/>
  <c r="F969" i="87"/>
  <c r="F7698" i="87"/>
  <c r="F981" i="87"/>
  <c r="F7450" i="87"/>
  <c r="F5177" i="87"/>
  <c r="F5671" i="87"/>
  <c r="F7490" i="87"/>
  <c r="F7018" i="87"/>
  <c r="F7407" i="87"/>
  <c r="F4145" i="87"/>
  <c r="F5765" i="87"/>
  <c r="F7628" i="87"/>
  <c r="F1374" i="87"/>
  <c r="F674" i="87"/>
  <c r="F977" i="87"/>
  <c r="F7033" i="87"/>
  <c r="F6205" i="87"/>
  <c r="F6906" i="87"/>
  <c r="F6092" i="87"/>
  <c r="F7702" i="87"/>
  <c r="F5274" i="87"/>
  <c r="F4285" i="87"/>
  <c r="F6103" i="87"/>
  <c r="F6675" i="87"/>
  <c r="F6684" i="87"/>
  <c r="F6708" i="87"/>
  <c r="F6213" i="87"/>
  <c r="F7849" i="87"/>
  <c r="E7849" i="87" s="1"/>
  <c r="F7433" i="87"/>
  <c r="F4278" i="87"/>
  <c r="F7328" i="87"/>
  <c r="F7863" i="87"/>
  <c r="E7863" i="87" s="1"/>
  <c r="F693" i="87"/>
  <c r="F6109" i="87"/>
  <c r="F988" i="87"/>
  <c r="F1484" i="87"/>
  <c r="F7606" i="87"/>
  <c r="F5033" i="87"/>
  <c r="F7871" i="87"/>
  <c r="E7871" i="87" s="1"/>
  <c r="F7684" i="87"/>
  <c r="F3522" i="87"/>
  <c r="F6302" i="87"/>
  <c r="F5815" i="87"/>
  <c r="F108" i="87"/>
  <c r="F5005" i="87"/>
  <c r="F3427" i="87"/>
  <c r="F7382" i="87"/>
  <c r="F4863" i="87"/>
  <c r="F6856" i="87"/>
  <c r="F7016" i="87"/>
  <c r="F6693" i="87"/>
  <c r="F1294" i="87"/>
  <c r="F6223" i="87"/>
  <c r="F5007" i="87"/>
  <c r="F5019" i="87"/>
  <c r="F6809" i="87"/>
  <c r="F6113" i="87"/>
  <c r="F6922" i="87"/>
  <c r="F7661" i="87"/>
  <c r="F6847" i="87"/>
  <c r="F4025" i="87"/>
  <c r="F1346" i="87"/>
  <c r="F6954" i="87"/>
  <c r="F6231" i="87"/>
  <c r="F5548" i="87"/>
  <c r="F4755" i="87"/>
  <c r="F7039" i="87"/>
  <c r="F7494" i="87"/>
  <c r="F7461" i="87"/>
  <c r="F6585" i="87"/>
  <c r="F6763" i="87"/>
  <c r="F6904" i="87"/>
  <c r="F5460" i="87"/>
  <c r="F4125" i="87"/>
  <c r="F6951" i="87"/>
  <c r="F779" i="87"/>
  <c r="F5509" i="87"/>
  <c r="F7395" i="87"/>
  <c r="F3197" i="87"/>
  <c r="F695" i="87"/>
  <c r="F2896" i="87"/>
  <c r="F993" i="87"/>
  <c r="F6952" i="87"/>
  <c r="F7463" i="87"/>
  <c r="F5185" i="87"/>
  <c r="F5183" i="87"/>
  <c r="F4273" i="87"/>
  <c r="F6200" i="87"/>
  <c r="F5279" i="87"/>
  <c r="F7657" i="87"/>
  <c r="F4746" i="87"/>
  <c r="F1298" i="87"/>
  <c r="F7867" i="87"/>
  <c r="E7867" i="87" s="1"/>
  <c r="F7629" i="87"/>
  <c r="F4303" i="87"/>
  <c r="F5035" i="87"/>
  <c r="F6297" i="87"/>
  <c r="F6895" i="87"/>
  <c r="F6953" i="87"/>
  <c r="F14" i="87"/>
  <c r="F1317" i="87"/>
  <c r="F6075" i="87"/>
  <c r="F1205" i="87"/>
  <c r="F6471" i="87"/>
  <c r="F7567" i="87"/>
  <c r="F4736" i="87"/>
  <c r="F5827" i="87"/>
  <c r="F864" i="87"/>
  <c r="F5312" i="87"/>
  <c r="F6839" i="87"/>
  <c r="F1260" i="87"/>
  <c r="F5011" i="87"/>
  <c r="F6063" i="87"/>
  <c r="F836" i="87"/>
  <c r="F5514" i="87"/>
  <c r="F4275" i="87"/>
  <c r="F3431" i="87"/>
  <c r="F5112" i="87"/>
  <c r="F7482" i="87"/>
  <c r="F7839" i="87"/>
  <c r="F5218" i="87"/>
  <c r="F7576" i="87"/>
  <c r="F5376" i="87"/>
  <c r="F7421" i="87"/>
  <c r="F6221" i="87"/>
  <c r="F1490" i="87"/>
  <c r="F6309" i="87"/>
  <c r="F6864" i="87"/>
  <c r="F6129" i="87"/>
  <c r="F6107" i="87"/>
  <c r="F7571" i="87"/>
  <c r="F919" i="87"/>
  <c r="F5328" i="87"/>
  <c r="F6629" i="87"/>
  <c r="F7437" i="87"/>
  <c r="F6307" i="87"/>
  <c r="F5096" i="87"/>
  <c r="F7422" i="87"/>
  <c r="F4889" i="87"/>
  <c r="F5937" i="87"/>
  <c r="F7345" i="87"/>
  <c r="F4308" i="87"/>
  <c r="F964" i="87"/>
  <c r="F7853" i="87"/>
  <c r="E7853" i="87" s="1"/>
  <c r="F714" i="87"/>
  <c r="F5023" i="87"/>
  <c r="F7699" i="87"/>
  <c r="F834" i="87"/>
  <c r="F3585" i="87"/>
  <c r="F6371" i="87"/>
  <c r="F5512" i="87"/>
  <c r="F6115" i="87"/>
  <c r="F1188" i="87"/>
  <c r="F7420" i="87"/>
  <c r="F6486" i="87"/>
  <c r="F951" i="87"/>
  <c r="F6626" i="87"/>
  <c r="F7514" i="87"/>
  <c r="F7555" i="87"/>
  <c r="F3429" i="87"/>
  <c r="F858" i="87"/>
  <c r="F7748" i="87"/>
  <c r="F6706" i="87"/>
  <c r="F5527" i="87"/>
  <c r="F2706" i="87"/>
  <c r="F7428" i="87"/>
  <c r="F4861" i="87"/>
  <c r="F6180" i="87"/>
  <c r="F2738" i="87"/>
  <c r="F5649" i="87"/>
  <c r="F6197" i="87"/>
  <c r="F6310" i="87"/>
  <c r="F7389" i="87"/>
  <c r="F721" i="87"/>
  <c r="F6641" i="87"/>
  <c r="F6947" i="87"/>
  <c r="F3575" i="87"/>
  <c r="F4314" i="87"/>
  <c r="F6314" i="87"/>
  <c r="F777" i="87"/>
  <c r="F1171" i="87"/>
  <c r="F6907" i="87"/>
  <c r="F5667" i="87"/>
  <c r="F7866" i="87"/>
  <c r="E7866" i="87" s="1"/>
  <c r="F6472" i="87"/>
  <c r="F6762" i="87"/>
  <c r="F7348" i="87"/>
  <c r="F7735" i="87"/>
  <c r="F2702" i="87"/>
  <c r="F1251" i="87"/>
  <c r="F4026" i="87"/>
  <c r="F6317" i="87"/>
  <c r="F6078" i="87"/>
  <c r="F4352" i="87"/>
  <c r="F4827" i="87"/>
  <c r="F6235" i="87"/>
  <c r="F4310" i="87"/>
  <c r="F3477" i="87"/>
  <c r="F130" i="87"/>
  <c r="F916" i="87"/>
  <c r="F5277" i="87"/>
  <c r="F5053" i="87"/>
  <c r="F6312" i="87"/>
  <c r="F5515" i="87"/>
  <c r="F6030" i="87"/>
  <c r="F7396" i="87"/>
  <c r="F7692" i="87"/>
  <c r="F4745" i="87"/>
  <c r="F5068" i="87"/>
  <c r="F5693" i="87"/>
  <c r="F5824" i="87"/>
  <c r="F4262" i="87"/>
  <c r="F6272" i="87"/>
  <c r="F839" i="87"/>
  <c r="F6002" i="87"/>
  <c r="F6835" i="87"/>
  <c r="F6840" i="87"/>
  <c r="F772" i="87"/>
  <c r="F6923" i="87"/>
  <c r="F7509" i="87"/>
  <c r="F656" i="87"/>
  <c r="F6210" i="87"/>
  <c r="F5384" i="87"/>
  <c r="F6032" i="87"/>
  <c r="F5192" i="87"/>
  <c r="F5687" i="87"/>
  <c r="F6828" i="87"/>
  <c r="F5535" i="87"/>
  <c r="F6090" i="87"/>
  <c r="F2746" i="87"/>
  <c r="F6242" i="87"/>
  <c r="F5453" i="87"/>
  <c r="F7683" i="87"/>
  <c r="F6100" i="87"/>
  <c r="F7539" i="87"/>
  <c r="F6024" i="87"/>
  <c r="F5503" i="87"/>
  <c r="F854" i="87"/>
  <c r="F7524" i="87"/>
  <c r="F7742" i="87"/>
  <c r="F5459" i="87"/>
  <c r="F5293" i="87"/>
  <c r="F6859" i="87"/>
  <c r="F7873" i="87"/>
  <c r="E7873" i="87" s="1"/>
  <c r="F6995" i="87"/>
  <c r="F6116" i="87"/>
  <c r="F7027" i="87"/>
  <c r="F595" i="87"/>
  <c r="F661" i="87"/>
  <c r="F6206" i="87"/>
  <c r="F7535" i="87"/>
  <c r="F7691" i="87"/>
  <c r="F6089" i="87"/>
  <c r="F6699" i="87"/>
  <c r="F5027" i="87"/>
  <c r="F6796" i="87"/>
  <c r="F1201" i="87"/>
  <c r="F5559" i="87"/>
  <c r="F1301" i="87"/>
  <c r="F668" i="87"/>
  <c r="F6018" i="87"/>
  <c r="F4254" i="87"/>
  <c r="F3361" i="87"/>
  <c r="F740" i="87"/>
  <c r="F6227" i="87"/>
  <c r="F2701" i="87"/>
  <c r="F1213" i="87"/>
  <c r="F6234" i="87"/>
  <c r="F6695" i="87"/>
  <c r="F1356" i="87"/>
  <c r="F5021" i="87"/>
  <c r="F726" i="87"/>
  <c r="F6355" i="87"/>
  <c r="F901" i="87"/>
  <c r="F6374" i="87"/>
  <c r="F835" i="87"/>
  <c r="F6378" i="87"/>
  <c r="F5016" i="87"/>
  <c r="F3436" i="87"/>
  <c r="F4020" i="87"/>
  <c r="F1352" i="87"/>
  <c r="F800" i="87"/>
  <c r="F5017" i="87"/>
  <c r="F7484" i="87"/>
  <c r="F7364" i="87"/>
  <c r="F7747" i="87"/>
  <c r="F3571" i="87"/>
  <c r="F3201" i="87"/>
  <c r="F745" i="87"/>
  <c r="F6194" i="87"/>
  <c r="F2664" i="87"/>
  <c r="F6898" i="87"/>
  <c r="F6841" i="87"/>
  <c r="F5009" i="87"/>
  <c r="F7605" i="87"/>
  <c r="F966" i="87"/>
  <c r="F5641" i="87"/>
  <c r="F6519" i="87"/>
  <c r="F6257" i="87"/>
  <c r="F7648" i="87"/>
  <c r="F6690" i="87"/>
  <c r="F4812" i="87"/>
  <c r="F6713" i="87"/>
  <c r="F669" i="87"/>
  <c r="F5684" i="87"/>
  <c r="F5707" i="87"/>
  <c r="F3355" i="87"/>
  <c r="F6760" i="87"/>
  <c r="F4808" i="87"/>
  <c r="F7022" i="87"/>
  <c r="F6288" i="87"/>
  <c r="F7032" i="87"/>
  <c r="F6817" i="87"/>
  <c r="F7031" i="87"/>
  <c r="F6768" i="87"/>
  <c r="F7674" i="87"/>
  <c r="F692" i="87"/>
  <c r="F6112" i="87"/>
  <c r="F6779" i="87"/>
  <c r="F843" i="87"/>
  <c r="F5302" i="87"/>
  <c r="F7542" i="87"/>
  <c r="F5998" i="87"/>
  <c r="F5261" i="87"/>
  <c r="F5873" i="87"/>
  <c r="F6702" i="87"/>
  <c r="F7746" i="87"/>
  <c r="F6632" i="87"/>
  <c r="F3599" i="87"/>
  <c r="F4060" i="87"/>
  <c r="F6368" i="87"/>
  <c r="F6980" i="87"/>
  <c r="F6079" i="87"/>
  <c r="F2756" i="87"/>
  <c r="F6019" i="87"/>
  <c r="F6080" i="87"/>
  <c r="F649" i="87"/>
  <c r="F6143" i="87"/>
  <c r="F6334" i="87"/>
  <c r="F6781" i="87"/>
  <c r="F6774" i="87"/>
  <c r="F5059" i="87"/>
  <c r="F5517" i="87"/>
  <c r="F563" i="87"/>
  <c r="F7486" i="87"/>
  <c r="F6301" i="87"/>
  <c r="F5254" i="87"/>
  <c r="F5516" i="87"/>
  <c r="F728" i="87"/>
  <c r="F7467" i="87"/>
  <c r="F859" i="87"/>
  <c r="F6232" i="87"/>
  <c r="F5553" i="87"/>
  <c r="F3434" i="87"/>
  <c r="F6144" i="87"/>
  <c r="F1340" i="87"/>
  <c r="F6622" i="87"/>
  <c r="F5077" i="87"/>
  <c r="F6384" i="87"/>
  <c r="F3363" i="87"/>
  <c r="F5670" i="87"/>
  <c r="F5406" i="87"/>
  <c r="F7342" i="87"/>
  <c r="F5026" i="87"/>
  <c r="F5743" i="87"/>
  <c r="F7615" i="87"/>
  <c r="F7663" i="87"/>
  <c r="F1187" i="87"/>
  <c r="F4265" i="87"/>
  <c r="F6020" i="87"/>
  <c r="F6188" i="87"/>
  <c r="F5499" i="87"/>
  <c r="F782" i="87"/>
  <c r="F4309" i="87"/>
  <c r="F5036" i="87"/>
  <c r="F5826" i="87"/>
  <c r="F5944" i="87"/>
  <c r="F5275" i="87"/>
  <c r="F5294" i="87"/>
  <c r="F793" i="87"/>
  <c r="F6627" i="87"/>
  <c r="F6927" i="87"/>
  <c r="F5442" i="87"/>
  <c r="F7526" i="87"/>
  <c r="F7499" i="87"/>
  <c r="F2935" i="87"/>
  <c r="F5140" i="87"/>
  <c r="F743" i="87"/>
  <c r="F6199" i="87"/>
  <c r="F7423" i="87"/>
  <c r="F7718" i="87"/>
  <c r="F6925" i="87"/>
  <c r="F5071" i="87"/>
  <c r="F4284" i="87"/>
  <c r="F6177" i="87"/>
  <c r="F6814" i="87"/>
  <c r="F1386" i="87"/>
  <c r="F7681" i="87"/>
  <c r="F7653" i="87"/>
  <c r="F7008" i="87"/>
  <c r="F6670" i="87"/>
  <c r="F6377" i="87"/>
  <c r="F6023" i="87"/>
  <c r="F814" i="87"/>
  <c r="F7589" i="87"/>
  <c r="F7584" i="87"/>
  <c r="F4833" i="87"/>
  <c r="F917" i="87"/>
  <c r="F6676" i="87"/>
  <c r="F6743" i="87"/>
  <c r="F6315" i="87"/>
  <c r="F5013" i="87"/>
  <c r="F6960" i="87"/>
  <c r="F7594" i="87"/>
  <c r="F5639" i="87"/>
  <c r="F6265" i="87"/>
  <c r="F6911" i="87"/>
  <c r="F6780" i="87"/>
  <c r="F7673" i="87"/>
  <c r="F4893" i="87"/>
  <c r="F6593" i="87"/>
  <c r="F7534" i="87"/>
  <c r="F7442" i="87"/>
  <c r="F5318" i="87"/>
  <c r="F5533" i="87"/>
  <c r="F6754" i="87"/>
  <c r="F6014" i="87"/>
  <c r="F6324" i="87"/>
  <c r="F7706" i="87"/>
  <c r="F6303" i="87"/>
  <c r="F4266" i="87"/>
  <c r="F2710" i="87"/>
  <c r="F7595" i="87"/>
  <c r="F741" i="87"/>
  <c r="F5032" i="87"/>
  <c r="F6375" i="87"/>
  <c r="F6328" i="87"/>
  <c r="F6485" i="87"/>
  <c r="F4255" i="87"/>
  <c r="F7005" i="87"/>
  <c r="F5504" i="87"/>
  <c r="F6981" i="87"/>
  <c r="F6211" i="87"/>
  <c r="F7860" i="87"/>
  <c r="E7860" i="87" s="1"/>
  <c r="F6805" i="87"/>
  <c r="F7586" i="87"/>
  <c r="F6412" i="87"/>
  <c r="F57" i="87"/>
  <c r="F7330" i="87"/>
  <c r="F6833" i="87"/>
  <c r="F5383" i="87"/>
  <c r="F1561" i="87"/>
  <c r="F6974" i="87"/>
  <c r="F83" i="87"/>
  <c r="F1288" i="87"/>
  <c r="F5652" i="87"/>
  <c r="F6399" i="87"/>
  <c r="F1198" i="87"/>
  <c r="F6810" i="87"/>
  <c r="F6137" i="87"/>
  <c r="F6263" i="87"/>
  <c r="F6961" i="87"/>
  <c r="F956" i="87"/>
  <c r="F5640" i="87"/>
  <c r="F690" i="87"/>
  <c r="F6811" i="87"/>
  <c r="F6123" i="87"/>
  <c r="F6791" i="87"/>
  <c r="F6905" i="87"/>
  <c r="F6894" i="87"/>
  <c r="F6249" i="87"/>
  <c r="F6404" i="87"/>
  <c r="F4737" i="87"/>
  <c r="F4279" i="87"/>
  <c r="F930" i="87"/>
  <c r="F6405" i="87"/>
  <c r="F6824" i="87"/>
  <c r="F3003" i="87"/>
  <c r="F6189" i="87"/>
  <c r="F6327" i="87"/>
  <c r="F6489" i="87"/>
  <c r="F7609" i="87"/>
  <c r="F3029" i="87"/>
  <c r="F2773" i="87"/>
  <c r="F1291" i="87"/>
  <c r="F5679" i="87"/>
  <c r="F6766" i="87"/>
  <c r="F4271" i="87"/>
  <c r="F5521" i="87"/>
  <c r="F6688" i="87"/>
  <c r="F6277" i="87"/>
  <c r="F6691" i="87"/>
  <c r="F6033" i="87"/>
  <c r="F6857" i="87"/>
  <c r="F4323" i="87"/>
  <c r="F1" i="87"/>
  <c r="F915" i="87"/>
  <c r="F4018" i="87"/>
  <c r="F6475" i="87"/>
  <c r="F7036" i="87"/>
  <c r="F6946" i="87"/>
  <c r="F7545" i="87"/>
  <c r="F6933" i="87"/>
  <c r="F4325" i="87"/>
  <c r="F7327" i="87"/>
  <c r="F4390" i="87"/>
  <c r="F7745" i="87"/>
  <c r="F1472" i="87"/>
  <c r="F5048" i="87"/>
  <c r="F6822" i="87"/>
  <c r="F3" i="87"/>
  <c r="F6240" i="87"/>
  <c r="F5049" i="87"/>
  <c r="F88" i="87"/>
  <c r="F5043" i="87"/>
  <c r="F7024" i="87"/>
  <c r="F6145" i="87"/>
  <c r="F6874" i="87"/>
  <c r="F20" i="87"/>
  <c r="F5108" i="87"/>
  <c r="F7448" i="87"/>
  <c r="F3314" i="87"/>
  <c r="F7438" i="87"/>
  <c r="F5062" i="87"/>
  <c r="F6483" i="87"/>
  <c r="F830" i="87"/>
  <c r="F723" i="87"/>
  <c r="F6719" i="87"/>
  <c r="F5463" i="87"/>
  <c r="F6233" i="87"/>
  <c r="F7587" i="87"/>
  <c r="F3174" i="87"/>
  <c r="F5054" i="87"/>
  <c r="F5097" i="87"/>
  <c r="F7721" i="87"/>
  <c r="F7410" i="87"/>
  <c r="F7592" i="87"/>
  <c r="F7725" i="87"/>
  <c r="F6816" i="87"/>
  <c r="F5370" i="87"/>
  <c r="F7591" i="87"/>
  <c r="F7446" i="87"/>
  <c r="F5402" i="87"/>
  <c r="A81" i="73"/>
  <c r="N25" i="70"/>
  <c r="K5" i="70"/>
  <c r="I25" i="70"/>
  <c r="F9" i="76" l="1"/>
  <c r="F10" i="76"/>
  <c r="C14" i="76"/>
  <c r="F14" i="76" s="1"/>
  <c r="C15" i="76"/>
  <c r="F15" i="76" s="1"/>
  <c r="C33" i="76"/>
  <c r="F33" i="76" s="1"/>
  <c r="B3" i="87" l="1"/>
  <c r="E3" i="87" s="1"/>
  <c r="F30" i="76" l="1"/>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6" i="87"/>
  <c r="C7401" i="87"/>
  <c r="B7305" i="87"/>
  <c r="C7403" i="87" l="1"/>
  <c r="C7399" i="87"/>
  <c r="C7393" i="87"/>
  <c r="C7325" i="87"/>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4" i="87" a="1"/>
  <c r="F6576" i="87" a="1"/>
  <c r="F6598" i="87" a="1"/>
  <c r="F6610" i="87" a="1"/>
  <c r="F6576" i="87" l="1"/>
  <c r="F6574" i="87"/>
  <c r="F6610" i="87"/>
  <c r="F6598" i="87"/>
  <c r="B6576" i="87"/>
  <c r="B6574" i="87"/>
  <c r="E6574" i="87" s="1"/>
  <c r="K426" i="30"/>
  <c r="B6610" i="87"/>
  <c r="J18" i="73"/>
  <c r="J106" i="73" s="1"/>
  <c r="B6598" i="87"/>
  <c r="B7302" i="87"/>
  <c r="F6612" i="87" a="1"/>
  <c r="F7845" i="87" a="1"/>
  <c r="E6598" i="87" l="1"/>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39" i="87" a="1"/>
  <c r="F7230" i="87" a="1"/>
  <c r="F7266" i="87" a="1"/>
  <c r="F7257" i="87" a="1"/>
  <c r="F7275" i="87" a="1"/>
  <c r="F7284" i="87" a="1"/>
  <c r="F7248" i="87" a="1"/>
  <c r="F7293" i="87" a="1"/>
  <c r="F7221" i="87" a="1"/>
  <c r="F7293" i="87" l="1"/>
  <c r="B7293" i="87"/>
  <c r="C7293" i="87" s="1"/>
  <c r="F7284" i="87"/>
  <c r="B7284" i="87"/>
  <c r="C7284" i="87" s="1"/>
  <c r="F7275" i="87"/>
  <c r="B7275" i="87"/>
  <c r="C7275" i="87" s="1"/>
  <c r="F7266" i="87"/>
  <c r="B7266" i="87"/>
  <c r="C7266" i="87" s="1"/>
  <c r="F7257" i="87"/>
  <c r="B7257" i="87"/>
  <c r="C7257" i="87" s="1"/>
  <c r="F7248" i="87"/>
  <c r="B7248" i="87"/>
  <c r="C7248" i="87" s="1"/>
  <c r="F7239" i="87"/>
  <c r="B7239" i="87"/>
  <c r="C7239" i="87" s="1"/>
  <c r="F7230" i="87"/>
  <c r="B7230" i="87"/>
  <c r="C7230" i="87" s="1"/>
  <c r="F7221" i="87"/>
  <c r="B7221" i="87"/>
  <c r="C7221" i="87"/>
  <c r="B7012" i="87"/>
  <c r="B7010" i="87"/>
  <c r="E7284" i="87" l="1"/>
  <c r="E7266" i="87"/>
  <c r="E7257" i="87"/>
  <c r="E7248" i="87"/>
  <c r="E7239" i="87"/>
  <c r="E7230" i="87"/>
  <c r="E7221" i="87"/>
  <c r="E7293" i="87"/>
  <c r="E7275"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5046" i="87" a="1"/>
  <c r="F7045" i="87" a="1"/>
  <c r="F7307" i="87" a="1"/>
  <c r="F7045" i="87" l="1"/>
  <c r="B7045" i="87"/>
  <c r="F5046" i="87"/>
  <c r="C84" i="14"/>
  <c r="F7307" i="87"/>
  <c r="B7307" i="87"/>
  <c r="C7307" i="87" s="1"/>
  <c r="C7045" i="87"/>
  <c r="K91" i="73"/>
  <c r="J91" i="73"/>
  <c r="I91" i="73"/>
  <c r="H91" i="73"/>
  <c r="G91" i="73"/>
  <c r="F91" i="73"/>
  <c r="E91" i="73"/>
  <c r="D91" i="73"/>
  <c r="C85" i="73"/>
  <c r="F7197" i="87" a="1"/>
  <c r="F7167" i="87" a="1"/>
  <c r="F7303" i="87" a="1"/>
  <c r="F7088" i="87" a="1"/>
  <c r="F7149" i="87" a="1"/>
  <c r="F7127" i="87" a="1"/>
  <c r="F7067" i="87" a="1"/>
  <c r="F7106" i="87" a="1"/>
  <c r="F7178" i="87" a="1"/>
  <c r="F7040" i="87" a="1"/>
  <c r="F7040" i="87" l="1"/>
  <c r="B7040" i="87"/>
  <c r="E7045" i="87"/>
  <c r="F7197" i="87"/>
  <c r="B7197" i="87"/>
  <c r="F7178" i="87"/>
  <c r="B7178" i="87"/>
  <c r="C7178" i="87" s="1"/>
  <c r="F7167" i="87"/>
  <c r="E7167" i="87" s="1"/>
  <c r="B7167" i="87"/>
  <c r="F7149" i="87"/>
  <c r="B7149" i="87"/>
  <c r="C7149" i="87" s="1"/>
  <c r="F7127" i="87"/>
  <c r="B7127" i="87"/>
  <c r="F7106" i="87"/>
  <c r="B7106" i="87"/>
  <c r="F7088" i="87"/>
  <c r="E7088" i="87" s="1"/>
  <c r="B7088" i="87"/>
  <c r="F7067" i="87"/>
  <c r="B7067" i="87"/>
  <c r="F7303" i="87"/>
  <c r="B7303" i="87"/>
  <c r="C7303" i="87" s="1"/>
  <c r="E7307" i="87"/>
  <c r="C7067" i="87"/>
  <c r="C7106" i="87"/>
  <c r="C7040" i="87"/>
  <c r="E7040" i="87"/>
  <c r="C7088" i="87"/>
  <c r="C7127" i="87"/>
  <c r="C7167" i="87"/>
  <c r="C7197" i="87"/>
  <c r="H35" i="30"/>
  <c r="H34" i="30"/>
  <c r="J35" i="30"/>
  <c r="I35" i="30"/>
  <c r="G35" i="30"/>
  <c r="F35" i="30"/>
  <c r="E35" i="30"/>
  <c r="D35" i="30"/>
  <c r="F7842" i="87" a="1"/>
  <c r="F7311" i="87" a="1"/>
  <c r="F7310" i="87" a="1"/>
  <c r="F7308" i="87" a="1"/>
  <c r="F954" i="87" a="1"/>
  <c r="F7313" i="87" a="1"/>
  <c r="F7309" i="87" a="1"/>
  <c r="F7312" i="87" a="1"/>
  <c r="E7127" i="87" l="1"/>
  <c r="E7197" i="87"/>
  <c r="E7178" i="87"/>
  <c r="E7067" i="87"/>
  <c r="E7149" i="87"/>
  <c r="E7106" i="87"/>
  <c r="E7303" i="87"/>
  <c r="F7308" i="87"/>
  <c r="F954" i="87"/>
  <c r="F7310" i="87"/>
  <c r="F7313" i="87"/>
  <c r="F7309" i="87"/>
  <c r="F7311" i="87"/>
  <c r="F7842" i="87"/>
  <c r="F7312" i="87"/>
  <c r="B7308" i="87"/>
  <c r="C7308" i="87" s="1"/>
  <c r="B7310" i="87"/>
  <c r="C7310" i="87" s="1"/>
  <c r="B7313" i="87"/>
  <c r="C7313" i="87" s="1"/>
  <c r="B7309" i="87"/>
  <c r="C7309" i="87" s="1"/>
  <c r="B7311" i="87"/>
  <c r="B7842" i="87"/>
  <c r="B7312" i="87"/>
  <c r="C7311" i="87"/>
  <c r="C7842" i="87"/>
  <c r="C731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217" i="87" a="1"/>
  <c r="F7832" i="87" a="1"/>
  <c r="F7828" i="87" a="1"/>
  <c r="F7829" i="87" a="1"/>
  <c r="F7404" i="87" a="1"/>
  <c r="F6568" i="87" a="1"/>
  <c r="F7510" i="87" a="1"/>
  <c r="F3612" i="87" a="1"/>
  <c r="F7757" i="87" a="1"/>
  <c r="F7749" i="87" a="1"/>
  <c r="F7755" i="87" a="1"/>
  <c r="F7833" i="87" a="1"/>
  <c r="F3617" i="87" a="1"/>
  <c r="F7682" i="87" a="1"/>
  <c r="F7760" i="87" a="1"/>
  <c r="F7777" i="87" a="1"/>
  <c r="F7756" i="87" a="1"/>
  <c r="F7726" i="87" a="1"/>
  <c r="F7655" i="87" a="1"/>
  <c r="F7769" i="87" a="1"/>
  <c r="F6570" i="87" a="1"/>
  <c r="F7504" i="87" a="1"/>
  <c r="F7017" i="87" a="1"/>
  <c r="F7500" i="87" a="1"/>
  <c r="F7551" i="87" a="1"/>
  <c r="F7767" i="87" a="1"/>
  <c r="F7807" i="87" a="1"/>
  <c r="F7808" i="87" a="1"/>
  <c r="F6491" i="87" a="1"/>
  <c r="F7014" i="87" a="1"/>
  <c r="F7612" i="87" a="1"/>
  <c r="F7363" i="87" a="1"/>
  <c r="F7387" i="87" a="1"/>
  <c r="F7688" i="87" a="1"/>
  <c r="F7765" i="87" a="1"/>
  <c r="F7436" i="87" a="1"/>
  <c r="F6594" i="87" a="1"/>
  <c r="F3619" i="87" a="1"/>
  <c r="F7570" i="87" a="1"/>
  <c r="F7791" i="87" a="1"/>
  <c r="F7443" i="87" a="1"/>
  <c r="F6564" i="87" a="1"/>
  <c r="F7812" i="87" a="1"/>
  <c r="F7013" i="87" a="1"/>
  <c r="F3607" i="87" a="1"/>
  <c r="F7795" i="87" a="1"/>
  <c r="F3584" i="87" a="1"/>
  <c r="F7796" i="87" a="1"/>
  <c r="F6566" i="87" a="1"/>
  <c r="F896" i="87" a="1"/>
  <c r="F7801" i="87" a="1"/>
  <c r="F7647" i="87" a="1"/>
  <c r="F7790" i="87" a="1"/>
  <c r="F7564" i="87" a="1"/>
  <c r="F6565" i="87" a="1"/>
  <c r="F7411" i="87" a="1"/>
  <c r="F7797" i="87" a="1"/>
  <c r="F722" i="87" a="1"/>
  <c r="F7678" i="87" a="1"/>
  <c r="F3577" i="87" a="1"/>
  <c r="F7821" i="87" a="1"/>
  <c r="F7768" i="87" a="1"/>
  <c r="F7809" i="87" a="1"/>
  <c r="F7771" i="87" a="1"/>
  <c r="F7608" i="87" a="1"/>
  <c r="F7780" i="87" a="1"/>
  <c r="F780" i="87" a="1"/>
  <c r="F7671" i="87" a="1"/>
  <c r="F7618" i="87" a="1"/>
  <c r="F7814" i="87" a="1"/>
  <c r="F7369" i="87" a="1"/>
  <c r="F3598" i="87" a="1"/>
  <c r="F7806" i="87" a="1"/>
  <c r="F7730" i="87" a="1"/>
  <c r="F7762" i="87" a="1"/>
  <c r="F7836" i="87" a="1"/>
  <c r="F7779" i="87" a="1"/>
  <c r="F7011" i="87" a="1"/>
  <c r="F7474" i="87" a="1"/>
  <c r="F7754" i="87" a="1"/>
  <c r="F7493" i="87" a="1"/>
  <c r="F3570" i="87" a="1"/>
  <c r="F7759" i="87" a="1"/>
  <c r="F7753" i="87" a="1"/>
  <c r="F7820" i="87" a="1"/>
  <c r="F7631" i="87" a="1"/>
  <c r="F7601" i="87" a="1"/>
  <c r="F7476" i="87" a="1"/>
  <c r="F7417" i="87" a="1"/>
  <c r="F7758" i="87" a="1"/>
  <c r="F7775" i="87" a="1"/>
  <c r="F7785" i="87" a="1"/>
  <c r="F7625" i="87" a="1"/>
  <c r="F7784" i="87" a="1"/>
  <c r="F3591" i="87" a="1"/>
  <c r="F7523" i="87" a="1"/>
  <c r="F7460" i="87" a="1"/>
  <c r="F7802" i="87" a="1"/>
  <c r="F7453" i="87" a="1"/>
  <c r="F7774" i="87" a="1"/>
  <c r="F7810" i="87" a="1"/>
  <c r="F7787" i="87" a="1"/>
  <c r="F7466" i="87" a="1"/>
  <c r="F7786" i="87" a="1"/>
  <c r="F7743" i="87" a="1"/>
  <c r="F6270" i="87" a="1"/>
  <c r="F838" i="87" a="1"/>
  <c r="F7447" i="87" a="1"/>
  <c r="F7815" i="87" a="1"/>
  <c r="F7817" i="87" a="1"/>
  <c r="F6569" i="87" a="1"/>
  <c r="F7793" i="87" a="1"/>
  <c r="F7773" i="87" a="1"/>
  <c r="F7719" i="87" a="1"/>
  <c r="F7783" i="87" a="1"/>
  <c r="F6916" i="87" a="1"/>
  <c r="F3615" i="87" a="1"/>
  <c r="F7339" i="87" a="1"/>
  <c r="F158" i="87" a="1"/>
  <c r="F6665" i="87" a="1"/>
  <c r="F7831" i="87" a="1"/>
  <c r="F7764" i="87" a="1"/>
  <c r="F7799" i="87" a="1"/>
  <c r="F7772" i="87" a="1"/>
  <c r="F7825" i="87" a="1"/>
  <c r="F7823" i="87" a="1"/>
  <c r="F7824" i="87" a="1"/>
  <c r="F7695" i="87" a="1"/>
  <c r="F7834" i="87" a="1"/>
  <c r="F7763" i="87" a="1"/>
  <c r="F7770" i="87" a="1"/>
  <c r="F7541" i="87" a="1"/>
  <c r="F7822" i="87" a="1"/>
  <c r="F7736" i="87" a="1"/>
  <c r="F6567" i="87" a="1"/>
  <c r="F7782" i="87" a="1"/>
  <c r="F7761" i="87" a="1"/>
  <c r="F7701" i="87" a="1"/>
  <c r="F7517" i="87" a="1"/>
  <c r="F6527" i="87" a="1"/>
  <c r="F7398" i="87" a="1"/>
  <c r="F7394" i="87" a="1"/>
  <c r="F6668" i="87" a="1"/>
  <c r="F7557" i="87" a="1"/>
  <c r="F7789" i="87" a="1"/>
  <c r="F6587" i="87" a="1"/>
  <c r="F6269" i="87" a="1"/>
  <c r="F7826" i="87" a="1"/>
  <c r="F7306" i="87" a="1"/>
  <c r="F7794" i="87" a="1"/>
  <c r="F7356" i="87" a="1"/>
  <c r="F7800" i="87" a="1"/>
  <c r="F7816" i="87" a="1"/>
  <c r="F3563" i="87" a="1"/>
  <c r="F7766" i="87" a="1"/>
  <c r="F3613" i="87" a="1"/>
  <c r="F7830" i="87" a="1"/>
  <c r="F7350" i="87" a="1"/>
  <c r="F7776" i="87" a="1"/>
  <c r="F7778" i="87" a="1"/>
  <c r="F7804" i="87" a="1"/>
  <c r="F7346" i="87" a="1"/>
  <c r="F7803" i="87" a="1"/>
  <c r="F7818" i="87" a="1"/>
  <c r="F7019" i="87" a="1"/>
  <c r="F7840" i="87" a="1"/>
  <c r="F7548" i="87" a="1"/>
  <c r="F7217" i="87" l="1"/>
  <c r="E7217" i="87" s="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C7780" i="87" s="1"/>
  <c r="B7387" i="87"/>
  <c r="C7387" i="87" s="1"/>
  <c r="B7493" i="87"/>
  <c r="C7493" i="87" s="1"/>
  <c r="B7719" i="87"/>
  <c r="C7719" i="87" s="1"/>
  <c r="B7783" i="87"/>
  <c r="B7785" i="87"/>
  <c r="B7394" i="87"/>
  <c r="B7500" i="87"/>
  <c r="B7608" i="87"/>
  <c r="C7608" i="87" s="1"/>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C7800" i="87" s="1"/>
  <c r="B7802" i="87"/>
  <c r="C7802" i="87" s="1"/>
  <c r="B7411" i="87"/>
  <c r="B7517" i="87"/>
  <c r="C7517" i="87" s="1"/>
  <c r="B7625" i="87"/>
  <c r="B7743" i="87"/>
  <c r="C7743" i="87" s="1"/>
  <c r="B7807" i="87"/>
  <c r="B7809" i="87"/>
  <c r="C7809" i="87" s="1"/>
  <c r="B7369" i="87"/>
  <c r="C7369" i="87" s="1"/>
  <c r="B7466" i="87"/>
  <c r="C7466" i="87" s="1"/>
  <c r="B7570" i="87"/>
  <c r="B7701" i="87"/>
  <c r="C7701" i="87" s="1"/>
  <c r="B7011" i="87"/>
  <c r="B7815" i="87"/>
  <c r="C7815" i="87" s="1"/>
  <c r="B7817" i="87"/>
  <c r="B7820" i="87"/>
  <c r="B7822" i="87"/>
  <c r="C7822" i="87" s="1"/>
  <c r="B7824" i="87"/>
  <c r="C7824" i="87" s="1"/>
  <c r="B7828" i="87"/>
  <c r="B7830" i="87"/>
  <c r="C7830" i="87" s="1"/>
  <c r="B7832" i="87"/>
  <c r="B7655" i="87"/>
  <c r="D438" i="30"/>
  <c r="B7755" i="87"/>
  <c r="C7755" i="87" s="1"/>
  <c r="B7757" i="87"/>
  <c r="C7757" i="87" s="1"/>
  <c r="B7759" i="87"/>
  <c r="B7761" i="87"/>
  <c r="B7763" i="87"/>
  <c r="C7763" i="87" s="1"/>
  <c r="B7765" i="87"/>
  <c r="B7767" i="87"/>
  <c r="B7769" i="87"/>
  <c r="B7771" i="87"/>
  <c r="C7771" i="87" s="1"/>
  <c r="B7773" i="87"/>
  <c r="C7773" i="87" s="1"/>
  <c r="B7775" i="87"/>
  <c r="B7777" i="87"/>
  <c r="B7779" i="87"/>
  <c r="C7779" i="87" s="1"/>
  <c r="B7339" i="87"/>
  <c r="C7339" i="87" s="1"/>
  <c r="B7541" i="87"/>
  <c r="C7541" i="87" s="1"/>
  <c r="B7671" i="87"/>
  <c r="C7671" i="87" s="1"/>
  <c r="B7782" i="87"/>
  <c r="C7782" i="87" s="1"/>
  <c r="B7784" i="87"/>
  <c r="B7786" i="87"/>
  <c r="B7346" i="87"/>
  <c r="B7443" i="87"/>
  <c r="C7443" i="87" s="1"/>
  <c r="B7548" i="87"/>
  <c r="C7548" i="87" s="1"/>
  <c r="B7678" i="87"/>
  <c r="B7789" i="87"/>
  <c r="B7791" i="87"/>
  <c r="C7791" i="87" s="1"/>
  <c r="B7398" i="87"/>
  <c r="C7398" i="87" s="1"/>
  <c r="B7504" i="87"/>
  <c r="B7612" i="87"/>
  <c r="B7730" i="87"/>
  <c r="C7730" i="87" s="1"/>
  <c r="B6564" i="87"/>
  <c r="B6566" i="87"/>
  <c r="B6568" i="87"/>
  <c r="B6570" i="87"/>
  <c r="B7796" i="87"/>
  <c r="B7356" i="87"/>
  <c r="C7356" i="87" s="1"/>
  <c r="B7453" i="87"/>
  <c r="B7557" i="87"/>
  <c r="C7557" i="87" s="1"/>
  <c r="B7688" i="87"/>
  <c r="C7688" i="87" s="1"/>
  <c r="B7801" i="87"/>
  <c r="C7801" i="87" s="1"/>
  <c r="B7803" i="87"/>
  <c r="B7363" i="87"/>
  <c r="C7363" i="87" s="1"/>
  <c r="B7460" i="87"/>
  <c r="C7460" i="87" s="1"/>
  <c r="B7564" i="87"/>
  <c r="C7564" i="87" s="1"/>
  <c r="B7695" i="87"/>
  <c r="B7808" i="87"/>
  <c r="B7810" i="87"/>
  <c r="B7417" i="87"/>
  <c r="C7417" i="87" s="1"/>
  <c r="B7523" i="87"/>
  <c r="B7631" i="87"/>
  <c r="B7749" i="87"/>
  <c r="C7749" i="87" s="1"/>
  <c r="B7013" i="87"/>
  <c r="C7013" i="87" s="1"/>
  <c r="B7816" i="87"/>
  <c r="B7821" i="87"/>
  <c r="B7823" i="87"/>
  <c r="B7825" i="87"/>
  <c r="C7825" i="87" s="1"/>
  <c r="B7647" i="87"/>
  <c r="C7647" i="87" s="1"/>
  <c r="B7829" i="87"/>
  <c r="C7829" i="87" s="1"/>
  <c r="B7831" i="87"/>
  <c r="C7831" i="87" s="1"/>
  <c r="B7833" i="87"/>
  <c r="C7833" i="87" s="1"/>
  <c r="B7476" i="87"/>
  <c r="B7836" i="87"/>
  <c r="C7217" i="87"/>
  <c r="C7756" i="87"/>
  <c r="C7760" i="87"/>
  <c r="C7764" i="87"/>
  <c r="C7768" i="87"/>
  <c r="C7772" i="87"/>
  <c r="C7776" i="87"/>
  <c r="C7783" i="87"/>
  <c r="C7785" i="87"/>
  <c r="C7394" i="87"/>
  <c r="C7500" i="87"/>
  <c r="C7790" i="87"/>
  <c r="C7350" i="87"/>
  <c r="C7447" i="87"/>
  <c r="C7682" i="87"/>
  <c r="C7793" i="87"/>
  <c r="C7404" i="87"/>
  <c r="C7618" i="87"/>
  <c r="C7411" i="87"/>
  <c r="C7625" i="87"/>
  <c r="C7807" i="87"/>
  <c r="C7570" i="87"/>
  <c r="C7011" i="87"/>
  <c r="C7817" i="87"/>
  <c r="C7820" i="87"/>
  <c r="C7828" i="87"/>
  <c r="C7832" i="87"/>
  <c r="C7655" i="87"/>
  <c r="C7759" i="87"/>
  <c r="C7761" i="87"/>
  <c r="C7765" i="87"/>
  <c r="C7767" i="87"/>
  <c r="C7769" i="87"/>
  <c r="C7775" i="87"/>
  <c r="C7777" i="87"/>
  <c r="C7784" i="87"/>
  <c r="C7786" i="87"/>
  <c r="C7346" i="87"/>
  <c r="C7678" i="87"/>
  <c r="C7789" i="87"/>
  <c r="C7504" i="87"/>
  <c r="C7612" i="87"/>
  <c r="C7796" i="87"/>
  <c r="C7453" i="87"/>
  <c r="C7803" i="87"/>
  <c r="C7695" i="87"/>
  <c r="C7808" i="87"/>
  <c r="C7810" i="87"/>
  <c r="C7523" i="87"/>
  <c r="C7631" i="87"/>
  <c r="C7816" i="87"/>
  <c r="C7821" i="87"/>
  <c r="C7823" i="87"/>
  <c r="C7476" i="87"/>
  <c r="C783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805" i="87" a="1"/>
  <c r="F3565" i="87" a="1"/>
  <c r="F7633" i="87" a="1"/>
  <c r="F7792" i="87" a="1"/>
  <c r="F7572" i="87" a="1"/>
  <c r="F63" i="87" a="1"/>
  <c r="F6060" i="87" a="1"/>
  <c r="F58" i="87" a="1"/>
  <c r="F44" i="87" a="1"/>
  <c r="F75" i="87" a="1"/>
  <c r="F135" i="87" a="1"/>
  <c r="F3600" i="87" a="1"/>
  <c r="F99" i="87" a="1"/>
  <c r="F3572" i="87" a="1"/>
  <c r="F7781" i="87" a="1"/>
  <c r="F32" i="87" a="1"/>
  <c r="F7041" i="87" a="1"/>
  <c r="F79" i="87" a="1"/>
  <c r="F3586" i="87" a="1"/>
  <c r="F3618" i="87" a="1"/>
  <c r="F7478" i="87" a="1"/>
  <c r="F48" i="87" a="1"/>
  <c r="F93" i="87" a="1"/>
  <c r="F7751" i="87" a="1"/>
  <c r="F126" i="87" a="1"/>
  <c r="F6054" i="87" a="1"/>
  <c r="F7835" i="87" a="1"/>
  <c r="F110" i="87" a="1"/>
  <c r="F3614" i="87" a="1"/>
  <c r="F6666" i="87" a="1"/>
  <c r="F3602" i="87" a="1"/>
  <c r="F3579" i="87" a="1"/>
  <c r="F7703" i="87" a="1"/>
  <c r="F7419" i="87" a="1"/>
  <c r="F7468" i="87" a="1"/>
  <c r="F27" i="87" a="1"/>
  <c r="F7042" i="87" a="1"/>
  <c r="F7811" i="87" a="1"/>
  <c r="F104" i="87" a="1"/>
  <c r="F7788" i="87" a="1"/>
  <c r="F15" i="87" a="1"/>
  <c r="F6572" i="87" a="1"/>
  <c r="F89" i="87" a="1"/>
  <c r="F7525" i="87" a="1"/>
  <c r="F3593" i="87" a="1"/>
  <c r="F7798" i="87" a="1"/>
  <c r="F7218" i="87" a="1"/>
  <c r="F6591" i="87" a="1"/>
  <c r="F7371" i="87" a="1"/>
  <c r="F7038" i="87" a="1"/>
  <c r="F7827" i="87" a="1"/>
  <c r="F7015" i="87" a="1"/>
  <c r="F79" i="87" l="1"/>
  <c r="F75" i="87"/>
  <c r="F104" i="87"/>
  <c r="F99" i="87"/>
  <c r="F6054" i="87"/>
  <c r="F110" i="87"/>
  <c r="F15" i="87"/>
  <c r="F126" i="87"/>
  <c r="F6060" i="87"/>
  <c r="F32" i="87"/>
  <c r="F27" i="87"/>
  <c r="F135" i="87"/>
  <c r="F89" i="87"/>
  <c r="F48" i="87"/>
  <c r="F44" i="87"/>
  <c r="F93" i="87"/>
  <c r="F63" i="87"/>
  <c r="F58" i="87"/>
  <c r="E7822" i="87"/>
  <c r="E7551" i="87"/>
  <c r="E7810" i="87"/>
  <c r="E7801" i="87"/>
  <c r="E7830" i="87"/>
  <c r="E7815" i="87"/>
  <c r="E7749" i="87"/>
  <c r="E7564" i="87"/>
  <c r="E7726" i="87"/>
  <c r="F7218" i="87"/>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C7792" i="87" s="1"/>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B7468" i="87"/>
  <c r="C7468" i="87" s="1"/>
  <c r="K438" i="30"/>
  <c r="E453" i="30"/>
  <c r="I453" i="30"/>
  <c r="F7042" i="87"/>
  <c r="F7038" i="87"/>
  <c r="E7038" i="87" s="1"/>
  <c r="F7041" i="87"/>
  <c r="B7038" i="87"/>
  <c r="C7038" i="87" s="1"/>
  <c r="B7041" i="87"/>
  <c r="C7041" i="87" s="1"/>
  <c r="C7798" i="87"/>
  <c r="C7014" i="87"/>
  <c r="E7014" i="87"/>
  <c r="C7474" i="87"/>
  <c r="E7474" i="87"/>
  <c r="C7787" i="87"/>
  <c r="E7787" i="87"/>
  <c r="C7818" i="87"/>
  <c r="E7818" i="87"/>
  <c r="C7834" i="87"/>
  <c r="E7834" i="87"/>
  <c r="C7751" i="87"/>
  <c r="C7805" i="87"/>
  <c r="C7419" i="87"/>
  <c r="C7572"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E48" i="87" s="1"/>
  <c r="G31" i="97"/>
  <c r="B79" i="87"/>
  <c r="E79" i="87" s="1"/>
  <c r="I31" i="97"/>
  <c r="B104" i="87"/>
  <c r="E104" i="87" s="1"/>
  <c r="K31" i="97"/>
  <c r="B126" i="87"/>
  <c r="D35" i="97"/>
  <c r="B44" i="87"/>
  <c r="F35" i="97"/>
  <c r="B75" i="87"/>
  <c r="E75" i="87" s="1"/>
  <c r="H35" i="97"/>
  <c r="B99" i="87"/>
  <c r="J35" i="97"/>
  <c r="B6060" i="87"/>
  <c r="E6060" i="87" s="1"/>
  <c r="D31" i="97"/>
  <c r="B32" i="87"/>
  <c r="E32" i="87" s="1"/>
  <c r="F31" i="97"/>
  <c r="B63" i="87"/>
  <c r="E63" i="87" s="1"/>
  <c r="H31" i="97"/>
  <c r="B93" i="87"/>
  <c r="J31" i="97"/>
  <c r="B6054" i="87"/>
  <c r="C35" i="97"/>
  <c r="B27" i="87"/>
  <c r="E27" i="87" s="1"/>
  <c r="E35" i="97"/>
  <c r="B58" i="87"/>
  <c r="E58" i="87" s="1"/>
  <c r="G35" i="97"/>
  <c r="B89" i="87"/>
  <c r="I35" i="97"/>
  <c r="B110" i="87"/>
  <c r="K35" i="97"/>
  <c r="B135" i="87"/>
  <c r="B15" i="87"/>
  <c r="C31" i="97"/>
  <c r="J13" i="73"/>
  <c r="G428" i="30"/>
  <c r="C428" i="30"/>
  <c r="F428" i="30"/>
  <c r="I428" i="30"/>
  <c r="D428" i="30"/>
  <c r="K387" i="30"/>
  <c r="K415" i="30"/>
  <c r="K98" i="73"/>
  <c r="J98" i="73"/>
  <c r="H98" i="73"/>
  <c r="G98" i="73"/>
  <c r="F98" i="73"/>
  <c r="E98" i="73"/>
  <c r="D98" i="73"/>
  <c r="C98" i="73"/>
  <c r="C108" i="73" s="1"/>
  <c r="K108" i="73"/>
  <c r="J108" i="73"/>
  <c r="G108" i="73"/>
  <c r="F108" i="73"/>
  <c r="E108" i="73"/>
  <c r="D108" i="73"/>
  <c r="F7060" i="87" a="1"/>
  <c r="F3620" i="87" a="1"/>
  <c r="F3594" i="87" a="1"/>
  <c r="F3566" i="87" a="1"/>
  <c r="F7187" i="87" a="1"/>
  <c r="F7133" i="87" a="1"/>
  <c r="F7245" i="87" a="1"/>
  <c r="F6580" i="87" a="1"/>
  <c r="F7268" i="87" a="1"/>
  <c r="F6581" i="87" a="1"/>
  <c r="F7232" i="87" a="1"/>
  <c r="F6579" i="87" a="1"/>
  <c r="F7209" i="87" a="1"/>
  <c r="F7227" i="87" a="1"/>
  <c r="F6595" i="87" a="1"/>
  <c r="F6578" i="87" a="1"/>
  <c r="F7277" i="87" a="1"/>
  <c r="F7272" i="87" a="1"/>
  <c r="F7051" i="87" a="1"/>
  <c r="F7286" i="87" a="1"/>
  <c r="F7250" i="87" a="1"/>
  <c r="F7081" i="87" a="1"/>
  <c r="F3604" i="87" a="1"/>
  <c r="F7259" i="87" a="1"/>
  <c r="F6577" i="87" a="1"/>
  <c r="F7073" i="87" a="1"/>
  <c r="F7142" i="87" a="1"/>
  <c r="F6614" i="87" a="1"/>
  <c r="F3580" i="87" a="1"/>
  <c r="F7236" i="87" a="1"/>
  <c r="F7241" i="87" a="1"/>
  <c r="F7202" i="87" a="1"/>
  <c r="F7281" i="87" a="1"/>
  <c r="F7190" i="87" a="1"/>
  <c r="F7112" i="87" a="1"/>
  <c r="F3587" i="87" a="1"/>
  <c r="F7099" i="87" a="1"/>
  <c r="F3573" i="87" a="1"/>
  <c r="F7263" i="87" a="1"/>
  <c r="F7219" i="87" a="1"/>
  <c r="F7037" i="87" a="1"/>
  <c r="F3616" i="87" a="1"/>
  <c r="F7154" i="87" a="1"/>
  <c r="F7295" i="87" a="1"/>
  <c r="F7254" i="87" a="1"/>
  <c r="F7813" i="87" a="1"/>
  <c r="F6613" i="87" a="1"/>
  <c r="F7120" i="87" a="1"/>
  <c r="F7290" i="87" a="1"/>
  <c r="F7043" i="87" a="1"/>
  <c r="F7223" i="87" a="1"/>
  <c r="F7183" i="87" a="1"/>
  <c r="F7299" i="87" a="1"/>
  <c r="F7841" i="87" a="1"/>
  <c r="F7093" i="87" a="1"/>
  <c r="E6054" i="87" l="1"/>
  <c r="E89" i="87"/>
  <c r="E135" i="87"/>
  <c r="E44" i="87"/>
  <c r="E7218" i="87"/>
  <c r="E93" i="87"/>
  <c r="E99" i="87"/>
  <c r="E126" i="87"/>
  <c r="F7299" i="87"/>
  <c r="F7154" i="87"/>
  <c r="E7154" i="87" s="1"/>
  <c r="F7081" i="87"/>
  <c r="F7073" i="87"/>
  <c r="E7073" i="87" s="1"/>
  <c r="F7245" i="87"/>
  <c r="F7250" i="87"/>
  <c r="E7250" i="87" s="1"/>
  <c r="F7254" i="87"/>
  <c r="F7259" i="87"/>
  <c r="E7259" i="87" s="1"/>
  <c r="F7142" i="87"/>
  <c r="E7142" i="87" s="1"/>
  <c r="F7133" i="87"/>
  <c r="E7133" i="87" s="1"/>
  <c r="F7099" i="87"/>
  <c r="F7112" i="87"/>
  <c r="E7112" i="87" s="1"/>
  <c r="F7232" i="87"/>
  <c r="E7232" i="87" s="1"/>
  <c r="F7281" i="87"/>
  <c r="E7281" i="87" s="1"/>
  <c r="F7286" i="87"/>
  <c r="E7286" i="87" s="1"/>
  <c r="F7290" i="87"/>
  <c r="E7290" i="87" s="1"/>
  <c r="F7295" i="87"/>
  <c r="E7295" i="87" s="1"/>
  <c r="F7093" i="87"/>
  <c r="F7120" i="87"/>
  <c r="F7227" i="87"/>
  <c r="F7241" i="87"/>
  <c r="E7241" i="87" s="1"/>
  <c r="F7236" i="87"/>
  <c r="E7236" i="87" s="1"/>
  <c r="F7190" i="87"/>
  <c r="E7190" i="87" s="1"/>
  <c r="F7183" i="87"/>
  <c r="E7183" i="87" s="1"/>
  <c r="F7209" i="87"/>
  <c r="E7209" i="87" s="1"/>
  <c r="F7202" i="87"/>
  <c r="F7263" i="87"/>
  <c r="F7268" i="87"/>
  <c r="E7268" i="87" s="1"/>
  <c r="F7272" i="87"/>
  <c r="E7272" i="87" s="1"/>
  <c r="F7277" i="87"/>
  <c r="E7277" i="87" s="1"/>
  <c r="F7223" i="87"/>
  <c r="E7223" i="87" s="1"/>
  <c r="B7299" i="87"/>
  <c r="C7299" i="87" s="1"/>
  <c r="B7154" i="87"/>
  <c r="B7081" i="87"/>
  <c r="B7073" i="87"/>
  <c r="E15" i="87"/>
  <c r="B7245" i="87"/>
  <c r="C7245" i="87" s="1"/>
  <c r="B7250" i="87"/>
  <c r="B7254" i="87"/>
  <c r="B7259" i="87"/>
  <c r="C7259" i="87" s="1"/>
  <c r="B7142" i="87"/>
  <c r="B7133" i="87"/>
  <c r="E110" i="87"/>
  <c r="E7792" i="87"/>
  <c r="B7099" i="87"/>
  <c r="C7099" i="87" s="1"/>
  <c r="B7112" i="87"/>
  <c r="C7112" i="87" s="1"/>
  <c r="B7232" i="87"/>
  <c r="H108" i="73"/>
  <c r="B7281" i="87"/>
  <c r="B7286" i="87"/>
  <c r="B7290" i="87"/>
  <c r="B7295" i="87"/>
  <c r="B7093" i="87"/>
  <c r="B7120" i="87"/>
  <c r="C7120" i="87" s="1"/>
  <c r="B7227" i="87"/>
  <c r="B7241" i="87"/>
  <c r="C7241" i="87" s="1"/>
  <c r="B7236" i="87"/>
  <c r="B7190" i="87"/>
  <c r="B7183" i="87"/>
  <c r="B7209" i="87"/>
  <c r="B7202" i="87"/>
  <c r="C7202" i="87" s="1"/>
  <c r="B7263" i="87"/>
  <c r="E7263" i="87" s="1"/>
  <c r="B7268" i="87"/>
  <c r="B7272" i="87"/>
  <c r="C7272" i="87" s="1"/>
  <c r="B7277" i="87"/>
  <c r="B7223" i="87"/>
  <c r="F7051" i="87"/>
  <c r="F7060" i="87"/>
  <c r="E7060" i="87" s="1"/>
  <c r="B7051" i="87"/>
  <c r="C7051" i="87" s="1"/>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C7219" i="87" s="1"/>
  <c r="B7187" i="87"/>
  <c r="C7187" i="87" s="1"/>
  <c r="C7042" i="87"/>
  <c r="E7042" i="87"/>
  <c r="C7081" i="87"/>
  <c r="E7081" i="87"/>
  <c r="C7209" i="87"/>
  <c r="C7073" i="87"/>
  <c r="C7154" i="87"/>
  <c r="C7223" i="87"/>
  <c r="C7060" i="87"/>
  <c r="C7142" i="87"/>
  <c r="C7190" i="87"/>
  <c r="C7093" i="87"/>
  <c r="C7133" i="87"/>
  <c r="C7183" i="87"/>
  <c r="C7281" i="87"/>
  <c r="C7263" i="87"/>
  <c r="E7245" i="87"/>
  <c r="C7227" i="87"/>
  <c r="E7227" i="87"/>
  <c r="C7286" i="87"/>
  <c r="C7268" i="87"/>
  <c r="C7250" i="87"/>
  <c r="C7232" i="87"/>
  <c r="C7290" i="87"/>
  <c r="C7254" i="87"/>
  <c r="E7254" i="87"/>
  <c r="C7236" i="87"/>
  <c r="C7295" i="87"/>
  <c r="C7277"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6615" i="87" a="1"/>
  <c r="F7160" i="87" a="1"/>
  <c r="F7044" i="87" a="1"/>
  <c r="F7185" i="87" a="1"/>
  <c r="F7220" i="87" a="1"/>
  <c r="F7020" i="87" a="1"/>
  <c r="F3622" i="87" a="1"/>
  <c r="F5982" i="87" a="1"/>
  <c r="E7093" i="87" l="1"/>
  <c r="F7160" i="87"/>
  <c r="E7299" i="87"/>
  <c r="E7202" i="87"/>
  <c r="E7120" i="87"/>
  <c r="E7051" i="87"/>
  <c r="B7160" i="87"/>
  <c r="C7160" i="87" s="1"/>
  <c r="E7099" i="87"/>
  <c r="E6581" i="87"/>
  <c r="E6580"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160" i="87" l="1"/>
  <c r="E7220" i="87"/>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7006" i="87" a="1"/>
  <c r="F7002" i="87" a="1"/>
  <c r="F2035" i="87" a="1"/>
  <c r="F6994" i="87" a="1"/>
  <c r="F6996" i="87" a="1"/>
  <c r="F7009" i="87" a="1"/>
  <c r="F6998" i="87" a="1"/>
  <c r="F4146" i="87" a="1"/>
  <c r="F3667" i="87" a="1"/>
  <c r="F4110" i="87" a="1"/>
  <c r="F6996" i="87" l="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8" i="87" a="1"/>
  <c r="F4147" i="87" a="1"/>
  <c r="F3666" i="87" a="1"/>
  <c r="F7004" i="87" a="1"/>
  <c r="E6996" i="87" l="1"/>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Q21" i="89" s="1"/>
  <c r="Y21" i="89" s="1"/>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V21" i="89"/>
  <c r="Z21" i="89" s="1"/>
  <c r="F6437" i="87" a="1"/>
  <c r="F2772" i="87" a="1"/>
  <c r="F3642" i="87" a="1"/>
  <c r="F4075" i="87" a="1"/>
  <c r="F1038" i="87" a="1"/>
  <c r="F3335" i="87" a="1"/>
  <c r="F3643" i="87" a="1"/>
  <c r="F736" i="87" a="1"/>
  <c r="F6067" i="87" a="1"/>
  <c r="F4155" i="87" a="1"/>
  <c r="F1273" i="87" a="1"/>
  <c r="F3432" i="87" a="1"/>
  <c r="F1081" i="87" a="1"/>
  <c r="F5536" i="87" a="1"/>
  <c r="F5506" i="87" a="1"/>
  <c r="F1200" i="87" a="1"/>
  <c r="F871" i="87" a="1"/>
  <c r="F6012" i="87" a="1"/>
  <c r="F1252" i="87" a="1"/>
  <c r="F1458" i="87" a="1"/>
  <c r="F1049" i="87" a="1"/>
  <c r="F4358" i="87" a="1"/>
  <c r="F150" i="87" a="1"/>
  <c r="F4357" i="87" a="1"/>
  <c r="F6004" i="87" a="1"/>
  <c r="F1072" i="87" a="1"/>
  <c r="F4342" i="87" a="1"/>
  <c r="F1438" i="87" a="1"/>
  <c r="F2755" i="87" a="1"/>
  <c r="F6350" i="87" a="1"/>
  <c r="F6250" i="87" a="1"/>
  <c r="F3336" i="87" a="1"/>
  <c r="F6039" i="87" a="1"/>
  <c r="F1396" i="87" a="1"/>
  <c r="F2953" i="87" a="1"/>
  <c r="F1423" i="87" a="1"/>
  <c r="F5034" i="87" a="1"/>
  <c r="F6367" i="87" a="1"/>
  <c r="F4077" i="87" a="1"/>
  <c r="F5830" i="87" a="1"/>
  <c r="F1064" i="87" a="1"/>
  <c r="F5822" i="87" a="1"/>
  <c r="F1302" i="87" a="1"/>
  <c r="F1050" i="87" a="1"/>
  <c r="F2541" i="87" a="1"/>
  <c r="F7095" i="87" a="1"/>
  <c r="F5543" i="87" a="1"/>
  <c r="F5685" i="87" a="1"/>
  <c r="F1065" i="87" a="1"/>
  <c r="F1073" i="87" a="1"/>
  <c r="F3261" i="87" a="1"/>
  <c r="F1289" i="87" a="1"/>
  <c r="F2025" i="87" a="1"/>
  <c r="F1269" i="87" a="1"/>
  <c r="F1191" i="87" a="1"/>
  <c r="F1415" i="87" a="1"/>
  <c r="F5950" i="87" a="1"/>
  <c r="F1074" i="87" a="1"/>
  <c r="F5230" i="87" a="1"/>
  <c r="F2955" i="87" a="1"/>
  <c r="F6006" i="87" a="1"/>
  <c r="F6759" i="87" a="1"/>
  <c r="F6409" i="87" a="1"/>
  <c r="F6909" i="87" a="1"/>
  <c r="F5791" i="87" a="1"/>
  <c r="F1354" i="87" a="1"/>
  <c r="F1371" i="87" a="1"/>
  <c r="F6283" i="87" a="1"/>
  <c r="F1271" i="87" a="1"/>
  <c r="F6382" i="87" a="1"/>
  <c r="F968" i="87" a="1"/>
  <c r="F5031" i="87" a="1"/>
  <c r="F6436" i="87" a="1"/>
  <c r="F2917" i="87" a="1"/>
  <c r="F5599" i="87" a="1"/>
  <c r="F6284" i="87" a="1"/>
  <c r="F2038" i="87" a="1"/>
  <c r="F1388" i="87" a="1"/>
  <c r="F6402" i="87" a="1"/>
  <c r="F5190" i="87" a="1"/>
  <c r="F6438" i="87" a="1"/>
  <c r="F1175" i="87" a="1"/>
  <c r="F2668" i="87" a="1"/>
  <c r="F5414" i="87" a="1"/>
  <c r="F3528" i="87" a="1"/>
  <c r="F6480" i="87" a="1"/>
  <c r="F6354" i="87" a="1"/>
  <c r="F5010" i="87" a="1"/>
  <c r="F4355" i="87" a="1"/>
  <c r="F3324" i="87" a="1"/>
  <c r="F6292" i="87" a="1"/>
  <c r="F3175" i="87" a="1"/>
  <c r="F1044" i="87" a="1"/>
  <c r="F979" i="87" a="1"/>
  <c r="F5278" i="87" a="1"/>
  <c r="F1091" i="87" a="1"/>
  <c r="F6320" i="87" a="1"/>
  <c r="F1062" i="87" a="1"/>
  <c r="F7188" i="87" a="1"/>
  <c r="F855" i="87" a="1"/>
  <c r="F794" i="87" a="1"/>
  <c r="F6130" i="87" a="1"/>
  <c r="F1221" i="87" a="1"/>
  <c r="F1365" i="87" a="1"/>
  <c r="F5311" i="87" a="1"/>
  <c r="F1211" i="87" a="1"/>
  <c r="F1057" i="87" a="1"/>
  <c r="F4894" i="87" a="1"/>
  <c r="F4079" i="87" a="1"/>
  <c r="F4043" i="87" a="1"/>
  <c r="F5852" i="87" a="1"/>
  <c r="F6332" i="87" a="1"/>
  <c r="F6362" i="87" a="1"/>
  <c r="F2789" i="87" a="1"/>
  <c r="F1433" i="87" a="1"/>
  <c r="F5669" i="87" a="1"/>
  <c r="F5677" i="87" a="1"/>
  <c r="F913" i="87" a="1"/>
  <c r="F6085" i="87" a="1"/>
  <c r="F1083" i="87" a="1"/>
  <c r="F5064" i="87" a="1"/>
  <c r="F5286" i="87" a="1"/>
  <c r="F4078" i="87" a="1"/>
  <c r="F1380" i="87" a="1"/>
  <c r="F1229" i="87" a="1"/>
  <c r="F6642" i="87" a="1"/>
  <c r="F6411" i="87" a="1"/>
  <c r="F5621" i="87" a="1"/>
  <c r="F5204" i="87" a="1"/>
  <c r="F1446" i="87" a="1"/>
  <c r="F6638" i="87" a="1"/>
  <c r="F1467" i="87" a="1"/>
  <c r="F1422" i="87" a="1"/>
  <c r="F2786" i="87" a="1"/>
  <c r="F3196" i="87" a="1"/>
  <c r="F5122" i="87" a="1"/>
  <c r="F6306" i="87" a="1"/>
  <c r="F3202" i="87" a="1"/>
  <c r="F4944" i="87" a="1"/>
  <c r="F4044" i="87" a="1"/>
  <c r="F6260" i="87" a="1"/>
  <c r="F6254" i="87" a="1"/>
  <c r="F6346" i="87" a="1"/>
  <c r="F6300" i="87" a="1"/>
  <c r="F852" i="87" a="1"/>
  <c r="F1457" i="87" a="1"/>
  <c r="F5478" i="87" a="1"/>
  <c r="F1224" i="87" a="1"/>
  <c r="F1427" i="87" a="1"/>
  <c r="F6639" i="87" a="1"/>
  <c r="F5647" i="87" a="1"/>
  <c r="F5169" i="87" a="1"/>
  <c r="F1053" i="87" a="1"/>
  <c r="F5994" i="87" a="1"/>
  <c r="F1473" i="87" a="1"/>
  <c r="F921" i="87" a="1"/>
  <c r="F6299" i="87" a="1"/>
  <c r="F747" i="87" a="1"/>
  <c r="F5369" i="87" a="1"/>
  <c r="F4340" i="87" a="1"/>
  <c r="F4307" i="87" a="1"/>
  <c r="F1070" i="87" a="1"/>
  <c r="F1283" i="87" a="1"/>
  <c r="F1329" i="87" a="1"/>
  <c r="F2952" i="87" a="1"/>
  <c r="F1328" i="87" a="1"/>
  <c r="F1361" i="87" a="1"/>
  <c r="F1485" i="87" a="1"/>
  <c r="F1447" i="87" a="1"/>
  <c r="F971" i="87" a="1"/>
  <c r="F1436" i="87" a="1"/>
  <c r="F3530" i="87" a="1"/>
  <c r="F6182" i="87" a="1"/>
  <c r="F2049" i="87" a="1"/>
  <c r="F671" i="87" a="1"/>
  <c r="F1067" i="87" a="1"/>
  <c r="F1228" i="87" a="1"/>
  <c r="F4119" i="87" a="1"/>
  <c r="F1430" i="87" a="1"/>
  <c r="F5870" i="87" a="1"/>
  <c r="F2921" i="87" a="1"/>
  <c r="F6005" i="87" a="1"/>
  <c r="F5843" i="87" a="1"/>
  <c r="F1327" i="87" a="1"/>
  <c r="F6244" i="87" a="1"/>
  <c r="F5602" i="87" a="1"/>
  <c r="F849" i="87" a="1"/>
  <c r="F3334" i="87" a="1"/>
  <c r="F791" i="87" a="1"/>
  <c r="F5299" i="87" a="1"/>
  <c r="F4356" i="87" a="1"/>
  <c r="F1437" i="87" a="1"/>
  <c r="F6268" i="87" a="1"/>
  <c r="F1080" i="87" a="1"/>
  <c r="F5747" i="87" a="1"/>
  <c r="F6291" i="87" a="1"/>
  <c r="F6358" i="87" a="1"/>
  <c r="F1324" i="87" a="1"/>
  <c r="F1426" i="87" a="1"/>
  <c r="F3181" i="87" a="1"/>
  <c r="F6256" i="87" a="1"/>
  <c r="F1060" i="87" a="1"/>
  <c r="F4301" i="87" a="1"/>
  <c r="F2749" i="87" a="1"/>
  <c r="F5773" i="87" a="1"/>
  <c r="F4120" i="87" a="1"/>
  <c r="F6344" i="87" a="1"/>
  <c r="F1088" i="87" a="1"/>
  <c r="F697" i="87" a="1"/>
  <c r="F6266" i="87" a="1"/>
  <c r="F6364" i="87" a="1"/>
  <c r="F1075" i="87" a="1"/>
  <c r="F1058" i="87" a="1"/>
  <c r="F152" i="87" a="1"/>
  <c r="F5674" i="87" a="1"/>
  <c r="F1056" i="87" a="1"/>
  <c r="F5105" i="87" a="1"/>
  <c r="F813" i="87" a="1"/>
  <c r="F1424" i="87" a="1"/>
  <c r="F5470" i="87" a="1"/>
  <c r="F1428" i="87" a="1"/>
  <c r="F6169" i="87" a="1"/>
  <c r="F6173" i="87" a="1"/>
  <c r="F2918" i="87" a="1"/>
  <c r="F2031" i="87" a="1"/>
  <c r="F2050" i="87" a="1"/>
  <c r="F154" i="87" a="1"/>
  <c r="F755" i="87" a="1"/>
  <c r="F1410" i="87" a="1"/>
  <c r="F5728" i="87" a="1"/>
  <c r="F5040" i="87" a="1"/>
  <c r="F689" i="87" a="1"/>
  <c r="F5931" i="87" a="1"/>
  <c r="F6698" i="87" a="1"/>
  <c r="F907" i="87" a="1"/>
  <c r="F2920" i="87" a="1"/>
  <c r="F5283" i="87" a="1"/>
  <c r="F2932" i="87" a="1"/>
  <c r="F5562" i="87" a="1"/>
  <c r="F5501" i="87" a="1"/>
  <c r="F6252" i="87" a="1"/>
  <c r="F6248" i="87" a="1"/>
  <c r="F6849" i="87" a="1"/>
  <c r="F729" i="87" a="1"/>
  <c r="F1404" i="87" a="1"/>
  <c r="F5817" i="87" a="1"/>
  <c r="F987" i="87" a="1"/>
  <c r="F1270" i="87" a="1"/>
  <c r="F6319" i="87" a="1"/>
  <c r="F4341" i="87" a="1"/>
  <c r="F1497" i="87" a="1"/>
  <c r="F1086" i="87" a="1"/>
  <c r="F2762" i="87" a="1"/>
  <c r="F1220" i="87" a="1"/>
  <c r="F1274" i="87" a="1"/>
  <c r="F4895" i="87" a="1"/>
  <c r="F1218" i="87" a="1"/>
  <c r="F5531" i="87" a="1"/>
  <c r="F5862" i="87" a="1"/>
  <c r="F6413" i="87" a="1"/>
  <c r="F2740" i="87" a="1"/>
  <c r="F5943" i="87" a="1"/>
  <c r="F1219" i="87" a="1"/>
  <c r="F6644" i="87" a="1"/>
  <c r="F1227" i="87" a="1"/>
  <c r="F5939" i="87" a="1"/>
  <c r="F1078" i="87" a="1"/>
  <c r="F148" i="87" a="1"/>
  <c r="F1441" i="87" a="1"/>
  <c r="F3105" i="87" a="1"/>
  <c r="F5367" i="87" a="1"/>
  <c r="F5465" i="87" a="1"/>
  <c r="F2790" i="87" a="1"/>
  <c r="F3242" i="87" a="1"/>
  <c r="F1453" i="87" a="1"/>
  <c r="F1090" i="87" a="1"/>
  <c r="F5338" i="87" a="1"/>
  <c r="F5481" i="87" a="1"/>
  <c r="F6220" i="87" a="1"/>
  <c r="F6262" i="87" a="1"/>
  <c r="F1258" i="87" a="1"/>
  <c r="F5327" i="87" a="1"/>
  <c r="F6360" i="87" a="1"/>
  <c r="F1183" i="87" a="1"/>
  <c r="F2739" i="87" a="1"/>
  <c r="F797" i="87" a="1"/>
  <c r="F6258" i="87" a="1"/>
  <c r="F5700" i="87" a="1"/>
  <c r="F5069" i="87" a="1"/>
  <c r="F1417" i="87" a="1"/>
  <c r="F146" i="87" a="1"/>
  <c r="F5696" i="87" a="1"/>
  <c r="F1414" i="87" a="1"/>
  <c r="F1321" i="87" a="1"/>
  <c r="F5692" i="87" a="1"/>
  <c r="F1068" i="87" a="1"/>
  <c r="F6264" i="87" a="1"/>
  <c r="F1054" i="87" a="1"/>
  <c r="F965" i="87" a="1"/>
  <c r="F5388" i="87" a="1"/>
  <c r="F733" i="87" a="1"/>
  <c r="F1491" i="87" a="1"/>
  <c r="F6634" i="87" a="1"/>
  <c r="F4076" i="87" a="1"/>
  <c r="F6331" i="87" a="1"/>
  <c r="F5076" i="87" a="1"/>
  <c r="F1268" i="87" a="1"/>
  <c r="F2783" i="87" a="1"/>
  <c r="F6466" i="87" a="1"/>
  <c r="F1314" i="87" a="1"/>
  <c r="F3220" i="87" a="1"/>
  <c r="F1479" i="87" a="1"/>
  <c r="F6246" i="87" a="1"/>
  <c r="F3009" i="87" a="1"/>
  <c r="F1421" i="87" a="1"/>
  <c r="F5015" i="87" a="1"/>
  <c r="F1448" i="87" a="1"/>
  <c r="F1440" i="87" a="1"/>
  <c r="F156" i="87" a="1"/>
  <c r="F3325" i="87" a="1"/>
  <c r="F5874" i="87" a="1"/>
  <c r="F5248" i="87" a="1"/>
  <c r="F910" i="87" a="1"/>
  <c r="F5681" i="87" a="1"/>
  <c r="F2919" i="87" a="1"/>
  <c r="F1061" i="87" a="1"/>
  <c r="F5837" i="87" a="1"/>
  <c r="F2733" i="87" a="1"/>
  <c r="F5432" i="87" a="1"/>
  <c r="F3198" i="87" a="1"/>
  <c r="F5825" i="87" a="1"/>
  <c r="F5176" i="87" a="1"/>
  <c r="F5526" i="87" a="1"/>
  <c r="F4100" i="87" a="1"/>
  <c r="F929" i="87" a="1"/>
  <c r="F2670" i="87" a="1"/>
  <c r="F6305" i="87" a="1"/>
  <c r="F1295" i="87" a="1"/>
  <c r="F2754" i="87" a="1"/>
  <c r="F863" i="87" a="1"/>
  <c r="F3006" i="87" a="1"/>
  <c r="F5867" i="87" a="1"/>
  <c r="F1499" i="87" a="1"/>
  <c r="F805" i="87" a="1"/>
  <c r="F5313" i="87" a="1"/>
  <c r="F2956" i="87" a="1"/>
  <c r="F5558" i="87" a="1"/>
  <c r="F2780" i="87" a="1"/>
  <c r="F2930" i="87" a="1"/>
  <c r="F1434" i="87" a="1"/>
  <c r="F1455" i="87" a="1"/>
  <c r="F4339" i="87" a="1"/>
  <c r="F5960" i="87" a="1"/>
  <c r="F6819" i="87" a="1"/>
  <c r="F4316" i="87" a="1"/>
  <c r="F1308" i="87" a="1"/>
  <c r="F5109" i="87" a="1"/>
  <c r="F739" i="87" a="1"/>
  <c r="F5292" i="87" a="1"/>
  <c r="F1419" i="87" a="1"/>
  <c r="F5523" i="87" a="1"/>
  <c r="F4031" i="87" a="1"/>
  <c r="F681" i="87" a="1"/>
  <c r="F6427" i="87" a="1"/>
  <c r="F6356" i="87" a="1"/>
  <c r="F1093" i="87" a="1"/>
  <c r="F2763" i="87" a="1"/>
  <c r="F6415" i="87" a="1"/>
  <c r="F5724" i="87" a="1"/>
  <c r="F6383" i="87" a="1"/>
  <c r="F6198" i="87" a="1"/>
  <c r="F6072" i="87" a="1"/>
  <c r="F6003" i="87" a="1"/>
  <c r="F6439" i="87" a="1"/>
  <c r="F1037" i="87" a="1"/>
  <c r="F6646" i="87" a="1"/>
  <c r="F1439" i="87" a="1"/>
  <c r="F1055" i="87" a="1"/>
  <c r="F2931" i="87" a="1"/>
  <c r="F1420" i="87" a="1"/>
  <c r="F845" i="87" a="1"/>
  <c r="F6348" i="87" a="1"/>
  <c r="F903" i="87" a="1"/>
  <c r="F1071" i="87" a="1"/>
  <c r="F787" i="87" a="1"/>
  <c r="F1431" i="87" a="1"/>
  <c r="F678" i="87" a="1"/>
  <c r="F6479" i="87" a="1"/>
  <c r="F5056" i="87" a="1"/>
  <c r="F6635" i="87" a="1"/>
  <c r="F961" i="87" a="1"/>
  <c r="F6729" i="87" a="1"/>
  <c r="F5936" i="87" a="1"/>
  <c r="F2785" i="87" a="1"/>
  <c r="F6403" i="87" a="1"/>
  <c r="F1079" i="87" a="1"/>
  <c r="F6342" i="87" a="1"/>
  <c r="F4024" i="87" a="1"/>
  <c r="F6340" i="87" a="1"/>
  <c r="F6239" i="87" a="1"/>
  <c r="F1167" i="87" a="1"/>
  <c r="F1450" i="87" a="1"/>
  <c r="F3661" i="87" a="1"/>
  <c r="F6209" i="87" a="1"/>
  <c r="F3173" i="87" a="1"/>
  <c r="F2954" i="87" a="1"/>
  <c r="F4317" i="87" a="1"/>
  <c r="F5304" i="87" a="1"/>
  <c r="F2922" i="87" a="1"/>
  <c r="F1502" i="87" a="1"/>
  <c r="F675" i="87" a="1"/>
  <c r="F2951" i="87" a="1"/>
  <c r="F5462" i="87" a="1"/>
  <c r="F1048" i="87" a="1"/>
  <c r="F2767" i="87" a="1"/>
  <c r="F1456" i="87" a="1"/>
  <c r="F1208" i="87" a="1"/>
  <c r="F6879" i="87" a="1"/>
  <c r="F5457" i="87" a="1"/>
  <c r="F1051" i="87" a="1"/>
  <c r="F1445" i="87" a="1"/>
  <c r="F6352" i="87" a="1"/>
  <c r="F3204" i="87" a="1"/>
  <c r="F6015" i="87" a="1"/>
  <c r="F6419" i="87" a="1"/>
  <c r="F5091" i="87" a="1"/>
  <c r="F6789" i="87" a="1"/>
  <c r="F12" i="87" a="1"/>
  <c r="F1442" i="87" a="1"/>
  <c r="F1416" i="87" a="1"/>
  <c r="F3175" i="87" l="1"/>
  <c r="F6012" i="87"/>
  <c r="F4079" i="87"/>
  <c r="F6759" i="87"/>
  <c r="F5700" i="87"/>
  <c r="E5700" i="87" s="1"/>
  <c r="F3202" i="87"/>
  <c r="F6849" i="87"/>
  <c r="E6849" i="87" s="1"/>
  <c r="F3530" i="87"/>
  <c r="F6006" i="87"/>
  <c r="F5994" i="87"/>
  <c r="F6729" i="87"/>
  <c r="F5109" i="87"/>
  <c r="F5939" i="87"/>
  <c r="F3198" i="87"/>
  <c r="F6039" i="87"/>
  <c r="F3528" i="87"/>
  <c r="F6005" i="87"/>
  <c r="F4078" i="87"/>
  <c r="F6698" i="87"/>
  <c r="F5523" i="87"/>
  <c r="F3643" i="87"/>
  <c r="F3242" i="87"/>
  <c r="F6015" i="87"/>
  <c r="F6004" i="87"/>
  <c r="F4120" i="87"/>
  <c r="F6909" i="87"/>
  <c r="F5031" i="87"/>
  <c r="F3204" i="87"/>
  <c r="F3261" i="87"/>
  <c r="F6003" i="87"/>
  <c r="F4077" i="87"/>
  <c r="E4077" i="87" s="1"/>
  <c r="F6879" i="87"/>
  <c r="F5825" i="87"/>
  <c r="F2050" i="87"/>
  <c r="F3220" i="87"/>
  <c r="F3196" i="87"/>
  <c r="F3642" i="87"/>
  <c r="E3642" i="87" s="1"/>
  <c r="F4076" i="87"/>
  <c r="E4076" i="87" s="1"/>
  <c r="F6819" i="87"/>
  <c r="E6819" i="87" s="1"/>
  <c r="F4119" i="87"/>
  <c r="E4119" i="87" s="1"/>
  <c r="F3181" i="87"/>
  <c r="F3105" i="87"/>
  <c r="F6789" i="87"/>
  <c r="C25" i="89"/>
  <c r="C22" i="76"/>
  <c r="F22" i="76" s="1"/>
  <c r="B4079" i="87"/>
  <c r="E270" i="14"/>
  <c r="B5700" i="87"/>
  <c r="B6849" i="87"/>
  <c r="B5994" i="87"/>
  <c r="B6729" i="87"/>
  <c r="B5109" i="87"/>
  <c r="B5939" i="87"/>
  <c r="B4078" i="87"/>
  <c r="B6698" i="87"/>
  <c r="B5523" i="87"/>
  <c r="B3643" i="87"/>
  <c r="J113" i="73"/>
  <c r="B4120" i="87"/>
  <c r="K270" i="14"/>
  <c r="B5031" i="87"/>
  <c r="I113" i="73"/>
  <c r="C18" i="76"/>
  <c r="F18" i="76" s="1"/>
  <c r="B4077" i="87"/>
  <c r="J270" i="14"/>
  <c r="B5825" i="87"/>
  <c r="B2050" i="87"/>
  <c r="B3642" i="87"/>
  <c r="B4076" i="87"/>
  <c r="B6819" i="87"/>
  <c r="B4119" i="87"/>
  <c r="D116" i="73"/>
  <c r="B3105" i="87"/>
  <c r="B6789" i="87"/>
  <c r="F6085" i="87"/>
  <c r="E6085" i="87" s="1"/>
  <c r="B6085" i="87"/>
  <c r="F5870" i="87"/>
  <c r="B5870" i="87"/>
  <c r="F5677" i="87"/>
  <c r="E5677" i="87" s="1"/>
  <c r="B5677" i="87"/>
  <c r="F5526" i="87"/>
  <c r="B5526" i="87"/>
  <c r="F5465" i="87"/>
  <c r="E5465" i="87" s="1"/>
  <c r="B5465" i="87"/>
  <c r="F5286" i="87"/>
  <c r="B5286" i="87"/>
  <c r="F5034" i="87"/>
  <c r="E5034" i="87" s="1"/>
  <c r="B5034" i="87"/>
  <c r="F4075" i="87"/>
  <c r="B4075" i="87"/>
  <c r="B4386" i="87"/>
  <c r="F5791" i="87"/>
  <c r="B5791" i="87"/>
  <c r="F5432" i="87"/>
  <c r="E5432" i="87" s="1"/>
  <c r="B5432" i="87"/>
  <c r="C5432" i="87" s="1"/>
  <c r="F5248" i="87"/>
  <c r="B5248" i="87"/>
  <c r="C5248" i="87" s="1"/>
  <c r="F5773" i="87"/>
  <c r="E5773" i="87" s="1"/>
  <c r="B5773" i="87"/>
  <c r="F5647" i="87"/>
  <c r="B5647" i="87"/>
  <c r="F5414" i="87"/>
  <c r="E5414" i="87" s="1"/>
  <c r="B5414" i="87"/>
  <c r="C5414" i="87" s="1"/>
  <c r="F5230" i="87"/>
  <c r="B5230" i="87"/>
  <c r="F4358" i="87"/>
  <c r="B4358" i="87"/>
  <c r="F4357" i="87"/>
  <c r="B4357" i="87"/>
  <c r="F4356" i="87"/>
  <c r="E4356" i="87" s="1"/>
  <c r="B4356" i="87"/>
  <c r="F4355" i="87"/>
  <c r="B4355" i="87"/>
  <c r="F5747" i="87"/>
  <c r="E5747" i="87" s="1"/>
  <c r="B5747" i="87"/>
  <c r="F5621" i="87"/>
  <c r="B5621" i="87"/>
  <c r="F5388" i="87"/>
  <c r="E5388" i="87" s="1"/>
  <c r="B5388" i="87"/>
  <c r="F5204" i="87"/>
  <c r="B5204" i="87"/>
  <c r="F6182" i="87"/>
  <c r="F5190" i="87"/>
  <c r="F4341" i="87"/>
  <c r="B4341" i="87"/>
  <c r="F4342" i="87"/>
  <c r="E4342" i="87" s="1"/>
  <c r="B4342" i="87"/>
  <c r="F4340" i="87"/>
  <c r="B4340" i="87"/>
  <c r="F4339" i="87"/>
  <c r="E4339" i="87" s="1"/>
  <c r="B4339" i="87"/>
  <c r="F5960" i="87"/>
  <c r="B5960" i="87"/>
  <c r="F5852" i="87"/>
  <c r="E5852" i="87" s="1"/>
  <c r="B5852" i="87"/>
  <c r="F5728" i="87"/>
  <c r="F5602" i="87"/>
  <c r="F5369" i="87"/>
  <c r="F5176" i="87"/>
  <c r="F4895" i="87"/>
  <c r="B4895" i="87"/>
  <c r="F6173" i="87"/>
  <c r="E6173" i="87" s="1"/>
  <c r="B6173" i="87"/>
  <c r="F4317" i="87"/>
  <c r="B4317" i="87"/>
  <c r="C4317" i="87" s="1"/>
  <c r="F4894" i="87"/>
  <c r="E4894" i="87" s="1"/>
  <c r="B4894" i="87"/>
  <c r="F5724" i="87"/>
  <c r="B5724" i="87"/>
  <c r="F5599" i="87"/>
  <c r="E5599" i="87" s="1"/>
  <c r="B5599" i="87"/>
  <c r="C5599" i="87" s="1"/>
  <c r="F4316" i="87"/>
  <c r="B4316" i="87"/>
  <c r="F5367" i="87"/>
  <c r="E5367" i="87" s="1"/>
  <c r="B5367" i="87"/>
  <c r="F5169" i="87"/>
  <c r="B5169" i="87"/>
  <c r="F4301" i="87"/>
  <c r="E4301" i="87" s="1"/>
  <c r="B4301" i="87"/>
  <c r="F5562" i="87"/>
  <c r="B5562" i="87"/>
  <c r="F5338" i="87"/>
  <c r="B5338" i="87"/>
  <c r="C5338" i="87" s="1"/>
  <c r="F5122" i="87"/>
  <c r="B5122" i="87"/>
  <c r="C5122" i="87" s="1"/>
  <c r="F4944" i="87"/>
  <c r="E4944" i="87" s="1"/>
  <c r="B4944" i="87"/>
  <c r="F6169" i="87"/>
  <c r="B6169" i="87"/>
  <c r="C6169" i="87" s="1"/>
  <c r="F4307" i="87"/>
  <c r="E4307" i="87" s="1"/>
  <c r="B4307" i="87"/>
  <c r="F5843" i="87"/>
  <c r="B5843" i="87"/>
  <c r="F5481" i="87"/>
  <c r="E5481" i="87" s="1"/>
  <c r="B5481" i="87"/>
  <c r="F5950" i="87"/>
  <c r="B5950" i="87"/>
  <c r="F6130" i="87"/>
  <c r="E6130" i="87" s="1"/>
  <c r="B6130" i="87"/>
  <c r="F5837" i="87"/>
  <c r="B5837" i="87"/>
  <c r="C5837" i="87" s="1"/>
  <c r="F5692" i="87"/>
  <c r="B5692" i="87"/>
  <c r="C5692" i="87" s="1"/>
  <c r="F5543" i="87"/>
  <c r="B5543" i="87"/>
  <c r="C5543" i="87" s="1"/>
  <c r="F5478" i="87"/>
  <c r="B5478" i="87"/>
  <c r="F5311" i="87"/>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C5531" i="87" s="1"/>
  <c r="F5470" i="87"/>
  <c r="B5470" i="87"/>
  <c r="F5299" i="87"/>
  <c r="B5299" i="87"/>
  <c r="F5064" i="87"/>
  <c r="B5064" i="87"/>
  <c r="F5056" i="87"/>
  <c r="B5056" i="87"/>
  <c r="F5292" i="87"/>
  <c r="B5292" i="87"/>
  <c r="F5040" i="87"/>
  <c r="B5040" i="87"/>
  <c r="C5040" i="87" s="1"/>
  <c r="F5931" i="87"/>
  <c r="B5931" i="87"/>
  <c r="F6067" i="87"/>
  <c r="B6067" i="87"/>
  <c r="F5862" i="87"/>
  <c r="B5862" i="87"/>
  <c r="F5817" i="87"/>
  <c r="B5817" i="87"/>
  <c r="F5669" i="87"/>
  <c r="B5669" i="87"/>
  <c r="C5669" i="87" s="1"/>
  <c r="F5501" i="87"/>
  <c r="F5457" i="87"/>
  <c r="B5457" i="87"/>
  <c r="F5278" i="87"/>
  <c r="B5278" i="87"/>
  <c r="F5010" i="87"/>
  <c r="F6480" i="87"/>
  <c r="F3661" i="87"/>
  <c r="F4043" i="87"/>
  <c r="F1497" i="87"/>
  <c r="F1485" i="87"/>
  <c r="F1473" i="87"/>
  <c r="F1502" i="87"/>
  <c r="F154" i="87"/>
  <c r="E154" i="87" s="1"/>
  <c r="F1458" i="87"/>
  <c r="F2789" i="87"/>
  <c r="E2789" i="87" s="1"/>
  <c r="F1456" i="87"/>
  <c r="F1453" i="87"/>
  <c r="F1450" i="87"/>
  <c r="F1447" i="87"/>
  <c r="F1445" i="87"/>
  <c r="F1442" i="87"/>
  <c r="F1440" i="87"/>
  <c r="F1438" i="87"/>
  <c r="F1436" i="87"/>
  <c r="F6427" i="87"/>
  <c r="F2670" i="87"/>
  <c r="F1430" i="87"/>
  <c r="F1428" i="87"/>
  <c r="F1426" i="87"/>
  <c r="E1426" i="87" s="1"/>
  <c r="F1422" i="87"/>
  <c r="F1420" i="87"/>
  <c r="F1354" i="87"/>
  <c r="F1410" i="87"/>
  <c r="F1404" i="87"/>
  <c r="E1404" i="87" s="1"/>
  <c r="F1416" i="87"/>
  <c r="F1414" i="87"/>
  <c r="F3009" i="87"/>
  <c r="F3335" i="87"/>
  <c r="F3334" i="87"/>
  <c r="F6646" i="87"/>
  <c r="F6644" i="87"/>
  <c r="F1329" i="87"/>
  <c r="F2785" i="87"/>
  <c r="F1327" i="87"/>
  <c r="F2772" i="87"/>
  <c r="F2956" i="87"/>
  <c r="F2954" i="87"/>
  <c r="E2954" i="87" s="1"/>
  <c r="F2952" i="87"/>
  <c r="F2780" i="87"/>
  <c r="F1321" i="87"/>
  <c r="F150" i="87"/>
  <c r="F1270" i="87"/>
  <c r="F2762" i="87"/>
  <c r="F1268" i="87"/>
  <c r="E1268" i="87" s="1"/>
  <c r="F148" i="87"/>
  <c r="F2755" i="87"/>
  <c r="F1228" i="87"/>
  <c r="F2931" i="87"/>
  <c r="F2749" i="87"/>
  <c r="F6383" i="87"/>
  <c r="F1208" i="87"/>
  <c r="F1191" i="87"/>
  <c r="F1175" i="87"/>
  <c r="F1221" i="87"/>
  <c r="F1220" i="87"/>
  <c r="F1218" i="87"/>
  <c r="F146" i="87"/>
  <c r="F2740" i="87"/>
  <c r="F1091" i="87"/>
  <c r="F6364" i="87"/>
  <c r="F6360" i="87"/>
  <c r="E6360" i="87" s="1"/>
  <c r="F6356" i="87"/>
  <c r="F6350" i="87"/>
  <c r="F6346" i="87"/>
  <c r="F6342" i="87"/>
  <c r="F2920" i="87"/>
  <c r="F2918" i="87"/>
  <c r="F1088" i="87"/>
  <c r="F6332" i="87"/>
  <c r="F987" i="87"/>
  <c r="F871" i="87"/>
  <c r="F755" i="87"/>
  <c r="F1083" i="87"/>
  <c r="F1080" i="87"/>
  <c r="F1078" i="87"/>
  <c r="F6319" i="87"/>
  <c r="E6319" i="87" s="1"/>
  <c r="F921" i="87"/>
  <c r="F805" i="87"/>
  <c r="F689" i="87"/>
  <c r="F1074" i="87"/>
  <c r="F1072" i="87"/>
  <c r="F1070" i="87"/>
  <c r="F1067" i="87"/>
  <c r="F6299" i="87"/>
  <c r="F910" i="87"/>
  <c r="F794" i="87"/>
  <c r="F678" i="87"/>
  <c r="F2668" i="87"/>
  <c r="F1064" i="87"/>
  <c r="F6291" i="87"/>
  <c r="F907" i="87"/>
  <c r="F791" i="87"/>
  <c r="F675" i="87"/>
  <c r="F1061" i="87"/>
  <c r="F1056" i="87"/>
  <c r="F1054" i="87"/>
  <c r="F6266" i="87"/>
  <c r="F6262" i="87"/>
  <c r="F6258" i="87"/>
  <c r="F6254" i="87"/>
  <c r="E6254" i="87" s="1"/>
  <c r="F6250" i="87"/>
  <c r="E6250" i="87" s="1"/>
  <c r="F6246" i="87"/>
  <c r="F3325" i="87"/>
  <c r="F6239" i="87"/>
  <c r="E6239" i="87" s="1"/>
  <c r="F1051" i="87"/>
  <c r="F1049" i="87"/>
  <c r="F6220" i="87"/>
  <c r="F6209" i="87"/>
  <c r="E6209" i="87" s="1"/>
  <c r="F6198" i="87"/>
  <c r="F156" i="87"/>
  <c r="F6479" i="87"/>
  <c r="F4044" i="87"/>
  <c r="E4044" i="87" s="1"/>
  <c r="F6466" i="87"/>
  <c r="F1491" i="87"/>
  <c r="F1479" i="87"/>
  <c r="F1467" i="87"/>
  <c r="F1499" i="87"/>
  <c r="F1396" i="87"/>
  <c r="F2790" i="87"/>
  <c r="F1457" i="87"/>
  <c r="F1455" i="87"/>
  <c r="F1388" i="87"/>
  <c r="F1448" i="87"/>
  <c r="E1448" i="87" s="1"/>
  <c r="F1446" i="87"/>
  <c r="F1380" i="87"/>
  <c r="F1441" i="87"/>
  <c r="F1439" i="87"/>
  <c r="F1437" i="87"/>
  <c r="F1433" i="87"/>
  <c r="F6419" i="87"/>
  <c r="F1431" i="87"/>
  <c r="E1431" i="87" s="1"/>
  <c r="F1365" i="87"/>
  <c r="F1427" i="87"/>
  <c r="F1423" i="87"/>
  <c r="F1421" i="87"/>
  <c r="F1419" i="87"/>
  <c r="F3336" i="87"/>
  <c r="F6415" i="87"/>
  <c r="F1417" i="87"/>
  <c r="F1415" i="87"/>
  <c r="E1415" i="87" s="1"/>
  <c r="F6413" i="87"/>
  <c r="F6411" i="87"/>
  <c r="F6409" i="87"/>
  <c r="F152" i="87"/>
  <c r="E152" i="87" s="1"/>
  <c r="F4155" i="87"/>
  <c r="F4100" i="87"/>
  <c r="F2786" i="87"/>
  <c r="F1328" i="87"/>
  <c r="F2783" i="87"/>
  <c r="F2767" i="87"/>
  <c r="F2955" i="87"/>
  <c r="F2953" i="87"/>
  <c r="F2951" i="87"/>
  <c r="F2763" i="87"/>
  <c r="F1269" i="87"/>
  <c r="F6642" i="87"/>
  <c r="F2754" i="87"/>
  <c r="F1227" i="87"/>
  <c r="F2930" i="87"/>
  <c r="F6382" i="87"/>
  <c r="F1200" i="87"/>
  <c r="F1183" i="87"/>
  <c r="F1167" i="87"/>
  <c r="F3432" i="87"/>
  <c r="F1219" i="87"/>
  <c r="F6638" i="87"/>
  <c r="F2739" i="87"/>
  <c r="F1090" i="87"/>
  <c r="F6362" i="87"/>
  <c r="F6358" i="87"/>
  <c r="F6354" i="87"/>
  <c r="F6348" i="87"/>
  <c r="F6344" i="87"/>
  <c r="E6344" i="87" s="1"/>
  <c r="F6340" i="87"/>
  <c r="F2921" i="87"/>
  <c r="F2919" i="87"/>
  <c r="F2917" i="87"/>
  <c r="F6331" i="87"/>
  <c r="F929" i="87"/>
  <c r="F813" i="87"/>
  <c r="F697" i="87"/>
  <c r="F1081" i="87"/>
  <c r="F1079" i="87"/>
  <c r="F6320" i="87"/>
  <c r="F979" i="87"/>
  <c r="F863" i="87"/>
  <c r="F747" i="87"/>
  <c r="F1075" i="87"/>
  <c r="F1073" i="87"/>
  <c r="F1071" i="87"/>
  <c r="F6300" i="87"/>
  <c r="F968" i="87"/>
  <c r="F852" i="87"/>
  <c r="F736" i="87"/>
  <c r="F6634" i="87"/>
  <c r="F1065" i="87"/>
  <c r="F6292" i="87"/>
  <c r="F965" i="87"/>
  <c r="F849" i="87"/>
  <c r="F733" i="87"/>
  <c r="E733" i="87" s="1"/>
  <c r="F1062" i="87"/>
  <c r="F1060" i="87"/>
  <c r="F1057" i="87"/>
  <c r="F1055" i="87"/>
  <c r="F1053" i="87"/>
  <c r="F6268" i="87"/>
  <c r="F6264" i="87"/>
  <c r="F6260" i="87"/>
  <c r="E6260" i="87" s="1"/>
  <c r="F6256" i="87"/>
  <c r="F6252" i="87"/>
  <c r="F6248" i="87"/>
  <c r="F6244" i="87"/>
  <c r="F1044" i="87"/>
  <c r="F1038" i="87"/>
  <c r="F1050" i="87"/>
  <c r="F1048" i="87"/>
  <c r="E1048" i="87" s="1"/>
  <c r="F3006" i="87"/>
  <c r="F3324" i="87"/>
  <c r="F1037" i="87"/>
  <c r="E1037" i="87" s="1"/>
  <c r="B6480" i="87"/>
  <c r="F309" i="30"/>
  <c r="B154" i="87"/>
  <c r="B2789" i="87"/>
  <c r="B1450" i="87"/>
  <c r="B1447" i="87"/>
  <c r="B1445" i="87"/>
  <c r="B1442" i="87"/>
  <c r="B1440" i="87"/>
  <c r="B1438" i="87"/>
  <c r="B1436" i="87"/>
  <c r="C1436" i="87" s="1"/>
  <c r="B6427" i="87"/>
  <c r="B2670" i="87"/>
  <c r="C2670" i="87" s="1"/>
  <c r="B1428" i="87"/>
  <c r="B1426" i="87"/>
  <c r="B1422" i="87"/>
  <c r="B1420" i="87"/>
  <c r="B1410" i="87"/>
  <c r="B1404" i="87"/>
  <c r="B1416" i="87"/>
  <c r="B1414" i="87"/>
  <c r="B3009" i="87"/>
  <c r="B3335" i="87"/>
  <c r="C3335" i="87" s="1"/>
  <c r="B3334" i="87"/>
  <c r="C3334" i="87" s="1"/>
  <c r="B6644" i="87"/>
  <c r="B2785" i="87"/>
  <c r="B1327" i="87"/>
  <c r="B2954" i="87"/>
  <c r="B2952" i="87"/>
  <c r="B2780" i="87"/>
  <c r="B1321" i="87"/>
  <c r="B150" i="87"/>
  <c r="B1270" i="87"/>
  <c r="B2762" i="87"/>
  <c r="B1268" i="87"/>
  <c r="B2755" i="87"/>
  <c r="B1228" i="87"/>
  <c r="B2931" i="87"/>
  <c r="B2749" i="87"/>
  <c r="B6383" i="87"/>
  <c r="B1208" i="87"/>
  <c r="B1191" i="87"/>
  <c r="B1175" i="87"/>
  <c r="C1175" i="87" s="1"/>
  <c r="B1221" i="87"/>
  <c r="B1220" i="87"/>
  <c r="C1220" i="87" s="1"/>
  <c r="J20" i="99"/>
  <c r="J24" i="99" s="1"/>
  <c r="B146" i="87"/>
  <c r="B2740" i="87"/>
  <c r="B1091" i="87"/>
  <c r="B6364" i="87"/>
  <c r="B6360" i="87"/>
  <c r="B6356" i="87"/>
  <c r="B6350" i="87"/>
  <c r="B6346" i="87"/>
  <c r="B2920" i="87"/>
  <c r="B2918" i="87"/>
  <c r="B6332" i="87"/>
  <c r="B987" i="87"/>
  <c r="B871" i="87"/>
  <c r="B755" i="87"/>
  <c r="C755" i="87" s="1"/>
  <c r="B1083" i="87"/>
  <c r="C1083" i="87" s="1"/>
  <c r="B1080" i="87"/>
  <c r="B6319" i="87"/>
  <c r="B921" i="87"/>
  <c r="B805" i="87"/>
  <c r="C805" i="87" s="1"/>
  <c r="B689" i="87"/>
  <c r="B1074" i="87"/>
  <c r="B1072" i="87"/>
  <c r="B1067" i="87"/>
  <c r="B6299" i="87"/>
  <c r="C6299" i="87" s="1"/>
  <c r="B910" i="87"/>
  <c r="C910" i="87" s="1"/>
  <c r="B794" i="87"/>
  <c r="C794" i="87" s="1"/>
  <c r="B678" i="87"/>
  <c r="C678" i="87" s="1"/>
  <c r="B1064" i="87"/>
  <c r="B6291" i="87"/>
  <c r="B791" i="87"/>
  <c r="B675" i="87"/>
  <c r="B1061" i="87"/>
  <c r="B1056" i="87"/>
  <c r="B6266" i="87"/>
  <c r="B6262" i="87"/>
  <c r="B6258" i="87"/>
  <c r="B6254" i="87"/>
  <c r="B6250" i="87"/>
  <c r="B6246" i="87"/>
  <c r="B3325" i="87"/>
  <c r="B6239" i="87"/>
  <c r="B1051" i="87"/>
  <c r="B1049" i="87"/>
  <c r="B6220" i="87"/>
  <c r="B6209" i="87"/>
  <c r="B6198" i="87"/>
  <c r="C6198" i="87" s="1"/>
  <c r="H18" i="73"/>
  <c r="B6479" i="87"/>
  <c r="B4044" i="87"/>
  <c r="G309" i="30"/>
  <c r="C309" i="30"/>
  <c r="H124" i="73" s="1"/>
  <c r="B1499" i="87"/>
  <c r="H292" i="30"/>
  <c r="B2790" i="87"/>
  <c r="B1457" i="87"/>
  <c r="B1388" i="87"/>
  <c r="B1448" i="87"/>
  <c r="B1446" i="87"/>
  <c r="B1380" i="87"/>
  <c r="B1441" i="87"/>
  <c r="B1439" i="87"/>
  <c r="B1437" i="87"/>
  <c r="C1437" i="87" s="1"/>
  <c r="B1433" i="87"/>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C929" i="87" s="1"/>
  <c r="B813" i="87"/>
  <c r="B697" i="87"/>
  <c r="B1081" i="87"/>
  <c r="B1079" i="87"/>
  <c r="B6320" i="87"/>
  <c r="B979" i="87"/>
  <c r="B863" i="87"/>
  <c r="B747" i="87"/>
  <c r="B1073" i="87"/>
  <c r="B1071" i="87"/>
  <c r="B6300" i="87"/>
  <c r="B968" i="87"/>
  <c r="B852" i="87"/>
  <c r="C852" i="87" s="1"/>
  <c r="B736" i="87"/>
  <c r="B6634" i="87"/>
  <c r="C6634" i="87" s="1"/>
  <c r="B6292" i="87"/>
  <c r="B965" i="87"/>
  <c r="B849" i="87"/>
  <c r="B733" i="87"/>
  <c r="B1062" i="87"/>
  <c r="B1060" i="87"/>
  <c r="B1057" i="87"/>
  <c r="B1055" i="87"/>
  <c r="B1053" i="87"/>
  <c r="B6268" i="87"/>
  <c r="B6264" i="87"/>
  <c r="B6260" i="87"/>
  <c r="B6256" i="87"/>
  <c r="B6252" i="87"/>
  <c r="B6248" i="87"/>
  <c r="B6244" i="87"/>
  <c r="B1044" i="87"/>
  <c r="B1038" i="87"/>
  <c r="B1050" i="87"/>
  <c r="B1048" i="87"/>
  <c r="B3006" i="87"/>
  <c r="B3324" i="87"/>
  <c r="B1037" i="87"/>
  <c r="C1037" i="87" s="1"/>
  <c r="F2541" i="87"/>
  <c r="F7188" i="87"/>
  <c r="F12" i="87"/>
  <c r="F1324" i="87"/>
  <c r="F103" i="73"/>
  <c r="B7188" i="87"/>
  <c r="C7188" i="87" s="1"/>
  <c r="F6403" i="87"/>
  <c r="E6403" i="87" s="1"/>
  <c r="B6403" i="87"/>
  <c r="F6402" i="87"/>
  <c r="B6402" i="87"/>
  <c r="F1314" i="87"/>
  <c r="B1314" i="87"/>
  <c r="F1308" i="87"/>
  <c r="F1302" i="87"/>
  <c r="F1295" i="87"/>
  <c r="B1295" i="87"/>
  <c r="F1289" i="87"/>
  <c r="B1289" i="87"/>
  <c r="F1283" i="87"/>
  <c r="F4031" i="87"/>
  <c r="B1283" i="87"/>
  <c r="C1283" i="87" s="1"/>
  <c r="F1273" i="87"/>
  <c r="F1274" i="87"/>
  <c r="F1252" i="87"/>
  <c r="E178" i="30"/>
  <c r="F1271" i="87"/>
  <c r="F1258" i="87"/>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B6438" i="87"/>
  <c r="F6436" i="87"/>
  <c r="F6352" i="87"/>
  <c r="B6436" i="87"/>
  <c r="F2025" i="87"/>
  <c r="B2025" i="87"/>
  <c r="F2922" i="87"/>
  <c r="F2733" i="87"/>
  <c r="B2733" i="87"/>
  <c r="F4024" i="87"/>
  <c r="F1086" i="87"/>
  <c r="F6305" i="87"/>
  <c r="F913" i="87"/>
  <c r="E913" i="87" s="1"/>
  <c r="F797" i="87"/>
  <c r="F681" i="87"/>
  <c r="F6306" i="87"/>
  <c r="F971" i="87"/>
  <c r="E971" i="87" s="1"/>
  <c r="F855" i="87"/>
  <c r="F739" i="87"/>
  <c r="F1068" i="87"/>
  <c r="B6305" i="87"/>
  <c r="C6305" i="87" s="1"/>
  <c r="B913" i="87"/>
  <c r="B797" i="87"/>
  <c r="C797" i="87" s="1"/>
  <c r="B681" i="87"/>
  <c r="B6306" i="87"/>
  <c r="C6306" i="87" s="1"/>
  <c r="B971" i="87"/>
  <c r="B855" i="87"/>
  <c r="C855" i="87" s="1"/>
  <c r="B739" i="87"/>
  <c r="C739" i="87" s="1"/>
  <c r="F6284" i="87"/>
  <c r="E6284" i="87" s="1"/>
  <c r="B6284" i="87"/>
  <c r="F6283" i="87"/>
  <c r="B6283" i="87"/>
  <c r="F961" i="87"/>
  <c r="E961" i="87" s="1"/>
  <c r="B961" i="87"/>
  <c r="F903" i="87"/>
  <c r="B903" i="87"/>
  <c r="F845" i="87"/>
  <c r="B845" i="87"/>
  <c r="C845" i="87" s="1"/>
  <c r="F787" i="87"/>
  <c r="B787" i="87"/>
  <c r="C787" i="87" s="1"/>
  <c r="F729" i="87"/>
  <c r="F1058" i="87"/>
  <c r="F671" i="87"/>
  <c r="F1434" i="87"/>
  <c r="F1371" i="87"/>
  <c r="B1371" i="87"/>
  <c r="F5936" i="87"/>
  <c r="F5867" i="87"/>
  <c r="F5674" i="87"/>
  <c r="F5462" i="87"/>
  <c r="F6072" i="87"/>
  <c r="F5822" i="87"/>
  <c r="F5506" i="87"/>
  <c r="F5283" i="87"/>
  <c r="B5936" i="87"/>
  <c r="C5936" i="87" s="1"/>
  <c r="B5867" i="87"/>
  <c r="B5674" i="87"/>
  <c r="C5674" i="87" s="1"/>
  <c r="B5462" i="87"/>
  <c r="C5462" i="87" s="1"/>
  <c r="B6072" i="87"/>
  <c r="B5822" i="87"/>
  <c r="B5506" i="87"/>
  <c r="B5283" i="87"/>
  <c r="F1424" i="87"/>
  <c r="F1361" i="87"/>
  <c r="B1361" i="87"/>
  <c r="C1361" i="87" s="1"/>
  <c r="F6437" i="87"/>
  <c r="F6367" i="87"/>
  <c r="B6437" i="87"/>
  <c r="F5015" i="87"/>
  <c r="B5015" i="87"/>
  <c r="C5015" i="87" s="1"/>
  <c r="F2049" i="87"/>
  <c r="F3173" i="87"/>
  <c r="B2049" i="87"/>
  <c r="C6595" i="87"/>
  <c r="E6595" i="87"/>
  <c r="C6591" i="87"/>
  <c r="E6591" i="87"/>
  <c r="C3642" i="87"/>
  <c r="C4079" i="87"/>
  <c r="E4079" i="87"/>
  <c r="C4078" i="87"/>
  <c r="E4078" i="87"/>
  <c r="C4077" i="87"/>
  <c r="C4076" i="87"/>
  <c r="C6819" i="87"/>
  <c r="C6698" i="87"/>
  <c r="E6698" i="87"/>
  <c r="C5773" i="87"/>
  <c r="C4358" i="87"/>
  <c r="C4356" i="87"/>
  <c r="C5747" i="87"/>
  <c r="C5388" i="87"/>
  <c r="C4342" i="87"/>
  <c r="C4340" i="87"/>
  <c r="C5960" i="87"/>
  <c r="C4895" i="87"/>
  <c r="C5724" i="87"/>
  <c r="C4316" i="87"/>
  <c r="C5169" i="87"/>
  <c r="C5843" i="87"/>
  <c r="C4301" i="87"/>
  <c r="C5700" i="87"/>
  <c r="C5105" i="87"/>
  <c r="C5950" i="87"/>
  <c r="C5943" i="87"/>
  <c r="C5874" i="87"/>
  <c r="C5681" i="87"/>
  <c r="C5470" i="87"/>
  <c r="C5064" i="87"/>
  <c r="C5292" i="87"/>
  <c r="C6085" i="87"/>
  <c r="C5825" i="87"/>
  <c r="E5825" i="87"/>
  <c r="C5526" i="87"/>
  <c r="C5286" i="87"/>
  <c r="C5523" i="87"/>
  <c r="E5523" i="87"/>
  <c r="C5867"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6427" i="87"/>
  <c r="C1428" i="87"/>
  <c r="C1426" i="87"/>
  <c r="C1422" i="87"/>
  <c r="C1420" i="87"/>
  <c r="C1410" i="87"/>
  <c r="C1404" i="87"/>
  <c r="C1416" i="87"/>
  <c r="C1414" i="87"/>
  <c r="C3009" i="87"/>
  <c r="C6644" i="87"/>
  <c r="C2785" i="87"/>
  <c r="C1327" i="87"/>
  <c r="C2954" i="87"/>
  <c r="C2952" i="87"/>
  <c r="C2780" i="87"/>
  <c r="C6402" i="87"/>
  <c r="C1295" i="87"/>
  <c r="C1321" i="87"/>
  <c r="C150" i="87"/>
  <c r="C1270" i="87"/>
  <c r="C2762" i="87"/>
  <c r="C1268" i="87"/>
  <c r="C6639" i="87"/>
  <c r="C2755" i="87"/>
  <c r="C1228" i="87"/>
  <c r="C2038" i="87"/>
  <c r="C4146" i="87"/>
  <c r="E4146" i="87"/>
  <c r="C2931" i="87"/>
  <c r="C2749" i="87"/>
  <c r="C6383" i="87"/>
  <c r="C1208" i="87"/>
  <c r="C1191" i="87"/>
  <c r="C1221" i="87"/>
  <c r="C146" i="87"/>
  <c r="C6635" i="87"/>
  <c r="C2740" i="87"/>
  <c r="C1091" i="87"/>
  <c r="C2031" i="87"/>
  <c r="C6437" i="87"/>
  <c r="C6364" i="87"/>
  <c r="C6360" i="87"/>
  <c r="C6356" i="87"/>
  <c r="C6436" i="87"/>
  <c r="C6350" i="87"/>
  <c r="C6346" i="87"/>
  <c r="C2025" i="87"/>
  <c r="C2920" i="87"/>
  <c r="C2918" i="87"/>
  <c r="C6332" i="87"/>
  <c r="C987" i="87"/>
  <c r="C871" i="87"/>
  <c r="C1080" i="87"/>
  <c r="C6319" i="87"/>
  <c r="C921" i="87"/>
  <c r="C689" i="87"/>
  <c r="C1074" i="87"/>
  <c r="C1072" i="87"/>
  <c r="C913" i="87"/>
  <c r="C681" i="87"/>
  <c r="C1067" i="87"/>
  <c r="C1064" i="87"/>
  <c r="C6291" i="87"/>
  <c r="C791" i="87"/>
  <c r="C675" i="87"/>
  <c r="C1061" i="87"/>
  <c r="C6284" i="87"/>
  <c r="C961" i="87"/>
  <c r="C1056" i="87"/>
  <c r="C6270" i="87"/>
  <c r="E6270" i="87"/>
  <c r="C954" i="87"/>
  <c r="E954" i="87"/>
  <c r="C838" i="87"/>
  <c r="E838" i="87"/>
  <c r="C664" i="87"/>
  <c r="E664" i="87"/>
  <c r="C6266" i="87"/>
  <c r="C6262" i="87"/>
  <c r="C6258" i="87"/>
  <c r="C6254" i="87"/>
  <c r="C6250" i="87"/>
  <c r="C6246" i="87"/>
  <c r="C3325" i="87"/>
  <c r="C6239"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2049" i="87"/>
  <c r="C3643" i="87"/>
  <c r="E3643" i="87"/>
  <c r="C3105" i="87"/>
  <c r="E3105" i="87"/>
  <c r="C5994" i="87"/>
  <c r="E5994" i="87"/>
  <c r="C4120" i="87"/>
  <c r="E4120" i="87"/>
  <c r="C4119" i="87"/>
  <c r="C4075" i="87"/>
  <c r="C4386" i="87"/>
  <c r="C6849" i="87"/>
  <c r="C6789" i="87"/>
  <c r="E6789" i="87"/>
  <c r="C6729" i="87"/>
  <c r="E6729" i="87"/>
  <c r="C5791" i="87"/>
  <c r="C5647" i="87"/>
  <c r="C5230" i="87"/>
  <c r="C4357" i="87"/>
  <c r="C4355" i="87"/>
  <c r="C5621" i="87"/>
  <c r="C5204" i="87"/>
  <c r="C4341" i="87"/>
  <c r="C4339" i="87"/>
  <c r="C5852" i="87"/>
  <c r="C6173" i="87"/>
  <c r="C4894" i="87"/>
  <c r="C5367" i="87"/>
  <c r="C4944" i="87"/>
  <c r="C4307" i="87"/>
  <c r="C5481" i="87"/>
  <c r="C5562" i="87"/>
  <c r="C5109" i="87"/>
  <c r="E5109" i="87"/>
  <c r="C5327" i="87"/>
  <c r="C5558" i="87"/>
  <c r="C6130" i="87"/>
  <c r="C5478" i="87"/>
  <c r="C5830" i="87"/>
  <c r="C5299" i="87"/>
  <c r="C5056" i="87"/>
  <c r="C5046" i="87"/>
  <c r="E5046" i="87"/>
  <c r="C5939" i="87"/>
  <c r="E5939" i="87"/>
  <c r="C5870" i="87"/>
  <c r="C5677" i="87"/>
  <c r="C5465" i="87"/>
  <c r="C5034" i="87"/>
  <c r="C5031" i="87"/>
  <c r="E5031" i="87"/>
  <c r="C6072" i="87"/>
  <c r="C5822" i="87"/>
  <c r="C5506" i="87"/>
  <c r="C5283" i="87"/>
  <c r="C5931" i="87"/>
  <c r="C5862"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371" i="87"/>
  <c r="C1433" i="87"/>
  <c r="C6419" i="87"/>
  <c r="C1431" i="87"/>
  <c r="C1365" i="87"/>
  <c r="C1427"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813" i="87"/>
  <c r="C697" i="87"/>
  <c r="C1081" i="87"/>
  <c r="C1079" i="87"/>
  <c r="C6320" i="87"/>
  <c r="C979" i="87"/>
  <c r="C863" i="87"/>
  <c r="C747" i="87"/>
  <c r="C1073" i="87"/>
  <c r="C1071" i="87"/>
  <c r="C971" i="87"/>
  <c r="C6300" i="87"/>
  <c r="C968" i="87"/>
  <c r="C736" i="87"/>
  <c r="C6292" i="87"/>
  <c r="C965" i="87"/>
  <c r="C849" i="87"/>
  <c r="C733" i="87"/>
  <c r="C1062" i="87"/>
  <c r="C1060" i="87"/>
  <c r="C6283" i="87"/>
  <c r="C903" i="87"/>
  <c r="C1057" i="87"/>
  <c r="C1055" i="87"/>
  <c r="C1053" i="87"/>
  <c r="C6269" i="87"/>
  <c r="E6269" i="87"/>
  <c r="C896" i="87"/>
  <c r="E896" i="87"/>
  <c r="C780" i="87"/>
  <c r="E780" i="87"/>
  <c r="C6268" i="87"/>
  <c r="C6264" i="87"/>
  <c r="C6260" i="87"/>
  <c r="C6256" i="87"/>
  <c r="C6252" i="87"/>
  <c r="C6248" i="87"/>
  <c r="C6244" i="87"/>
  <c r="C1044" i="87"/>
  <c r="C1038" i="87"/>
  <c r="C1050" i="87"/>
  <c r="C1048" i="87"/>
  <c r="C3006" i="87"/>
  <c r="C3324"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1296" i="87" a="1"/>
  <c r="F991" i="87" a="1"/>
  <c r="F815" i="87" a="1"/>
  <c r="F1202" i="87" a="1"/>
  <c r="F1303" i="87" a="1"/>
  <c r="F7174" i="87" a="1"/>
  <c r="F6" i="87" a="1"/>
  <c r="F5445" i="87" a="1"/>
  <c r="F1253" i="87" a="1"/>
  <c r="F1503" i="87" a="1"/>
  <c r="F699" i="87" a="1"/>
  <c r="F7064" i="87" a="1"/>
  <c r="F1077" i="87" a="1"/>
  <c r="F1177" i="87" a="1"/>
  <c r="F5532" i="87" a="1"/>
  <c r="F3350" i="87" a="1"/>
  <c r="F7207" i="87" a="1"/>
  <c r="F10" i="87" a="1"/>
  <c r="F6040" i="87" a="1"/>
  <c r="F4101" i="87" a="1"/>
  <c r="F5264" i="87" a="1"/>
  <c r="F5714" i="87" a="1"/>
  <c r="F6910" i="87" a="1"/>
  <c r="F1052" i="87" a="1"/>
  <c r="F1432" i="87" a="1"/>
  <c r="F1325" i="87" a="1"/>
  <c r="F3176" i="87" a="1"/>
  <c r="F7145" i="87" a="1"/>
  <c r="F7213" i="87" a="1"/>
  <c r="F2032" i="87" a="1"/>
  <c r="F7194" i="87" a="1"/>
  <c r="F2781" i="87" a="1"/>
  <c r="F1435" i="87" a="1"/>
  <c r="F6386" i="87" a="1"/>
  <c r="F6335" i="87" a="1"/>
  <c r="F9" i="87" a="1"/>
  <c r="F1169" i="87" a="1"/>
  <c r="F1261" i="87" a="1"/>
  <c r="F1425" i="87" a="1"/>
  <c r="F6481" i="87" a="1"/>
  <c r="F1193" i="87" a="1"/>
  <c r="F7212" i="87" a="1"/>
  <c r="F989" i="87" a="1"/>
  <c r="F7103" i="87" a="1"/>
  <c r="F4379" i="87" a="1"/>
  <c r="F5471" i="87" a="1"/>
  <c r="F1066" i="87" a="1"/>
  <c r="F7063" i="87" a="1"/>
  <c r="F1468" i="87" a="1"/>
  <c r="F1498" i="87" a="1"/>
  <c r="F1398" i="87" a="1"/>
  <c r="F1063" i="87" a="1"/>
  <c r="F5850" i="87" a="1"/>
  <c r="F1223" i="87" a="1"/>
  <c r="F1069" i="87" a="1"/>
  <c r="F3199" i="87" a="1"/>
  <c r="F6636" i="87" a="1"/>
  <c r="F2046" i="87" a="1"/>
  <c r="F1059" i="87" a="1"/>
  <c r="F1284" i="87" a="1"/>
  <c r="F7115" i="87" a="1"/>
  <c r="F4160" i="87" a="1"/>
  <c r="F6186" i="87" a="1"/>
  <c r="F7146" i="87" a="1"/>
  <c r="F3352" i="87" a="1"/>
  <c r="F1444" i="87" a="1"/>
  <c r="F5969" i="87" a="1"/>
  <c r="F1390" i="87" a="1"/>
  <c r="F6640" i="87" a="1"/>
  <c r="F5966" i="87" a="1"/>
  <c r="F1480" i="87" a="1"/>
  <c r="F1216" i="87" a="1"/>
  <c r="F7193" i="87" a="1"/>
  <c r="F1492" i="87" a="1"/>
  <c r="F931" i="87" a="1"/>
  <c r="F6969" i="87" a="1"/>
  <c r="F1185" i="87" a="1"/>
  <c r="F997" i="87" a="1"/>
  <c r="F3240" i="87" a="1"/>
  <c r="F6170" i="87" a="1"/>
  <c r="F11" i="87" a="1"/>
  <c r="F7158" i="87" a="1"/>
  <c r="F1429" i="87" a="1"/>
  <c r="F5970" i="87" a="1"/>
  <c r="F5158" i="87" a="1"/>
  <c r="F7085" i="87" a="1"/>
  <c r="F4386" i="87" a="1"/>
  <c r="F1309" i="87" a="1"/>
  <c r="F1459" i="87" a="1"/>
  <c r="F1319" i="87" a="1"/>
  <c r="F5807" i="87" a="1"/>
  <c r="F5356" i="87" a="1"/>
  <c r="F1474" i="87" a="1"/>
  <c r="F3353" i="87" a="1"/>
  <c r="F5657" i="87" a="1"/>
  <c r="F4385" i="87" a="1"/>
  <c r="F7123" i="87" a="1"/>
  <c r="F4378" i="87" a="1"/>
  <c r="F7164" i="87" a="1"/>
  <c r="F6387" i="87" a="1"/>
  <c r="F1085" i="87" a="1"/>
  <c r="F2514" i="87" a="1"/>
  <c r="F7" i="87" a="1"/>
  <c r="F1290" i="87" a="1"/>
  <c r="F6125" i="87" a="1"/>
  <c r="F5300" i="87" a="1"/>
  <c r="F6336" i="87" a="1"/>
  <c r="F1272" i="87" a="1"/>
  <c r="F3205" i="87" a="1"/>
  <c r="F6407" i="87" a="1"/>
  <c r="F1418" i="87" a="1"/>
  <c r="F3262" i="87" a="1"/>
  <c r="F873" i="87" a="1"/>
  <c r="F3218" i="87" a="1"/>
  <c r="F1486" i="87" a="1"/>
  <c r="F2734" i="87" a="1"/>
  <c r="F7304" i="87" a="1"/>
  <c r="F1452" i="87" a="1"/>
  <c r="F5588" i="87" a="1"/>
  <c r="F5968" i="87" a="1"/>
  <c r="F757" i="87" a="1"/>
  <c r="F5958" i="87" a="1"/>
  <c r="F2502" i="87" a="1"/>
  <c r="F5065" i="87" a="1"/>
  <c r="F2033" i="87" a="1"/>
  <c r="F5972" i="87" a="1"/>
  <c r="F5488" i="87" a="1"/>
  <c r="F7124" i="87" a="1"/>
  <c r="F3531" i="87" a="1"/>
  <c r="F2774" i="87" a="1"/>
  <c r="F6406" i="87" a="1"/>
  <c r="F1331" i="87" a="1"/>
  <c r="F3349" i="87" a="1"/>
  <c r="F8" i="87" a="1"/>
  <c r="F2037" i="87" a="1"/>
  <c r="F2034" i="87" a="1"/>
  <c r="F1210" i="87" a="1"/>
  <c r="F2553" i="87" a="1"/>
  <c r="F3179" i="87" a="1"/>
  <c r="F7064" i="87" l="1"/>
  <c r="F7103" i="87"/>
  <c r="F7085" i="87"/>
  <c r="F6969" i="87"/>
  <c r="F6040" i="87"/>
  <c r="F7146" i="87"/>
  <c r="E7146" i="87" s="1"/>
  <c r="F7174" i="87"/>
  <c r="E7174" i="87" s="1"/>
  <c r="F3205" i="87"/>
  <c r="F3531" i="87"/>
  <c r="F7124" i="87"/>
  <c r="F3218" i="87"/>
  <c r="F7123" i="87"/>
  <c r="F7194" i="87"/>
  <c r="E7194" i="87" s="1"/>
  <c r="F4386" i="87"/>
  <c r="E4386" i="87" s="1"/>
  <c r="F3179" i="87"/>
  <c r="F3199" i="87"/>
  <c r="F7164" i="87"/>
  <c r="F3240" i="87"/>
  <c r="F7212" i="87"/>
  <c r="F7145" i="87"/>
  <c r="F7193" i="87"/>
  <c r="F7213" i="87"/>
  <c r="E7213" i="87" s="1"/>
  <c r="F6910" i="87"/>
  <c r="B7064" i="87"/>
  <c r="B7103" i="87"/>
  <c r="E2049" i="87"/>
  <c r="E6283" i="87"/>
  <c r="E681" i="87"/>
  <c r="E1038" i="87"/>
  <c r="E6268" i="87"/>
  <c r="E965" i="87"/>
  <c r="E1081" i="87"/>
  <c r="E6340" i="87"/>
  <c r="E6638" i="87"/>
  <c r="E1227" i="87"/>
  <c r="E6411" i="87"/>
  <c r="E1423" i="87"/>
  <c r="E6246" i="87"/>
  <c r="E987" i="87"/>
  <c r="E6356" i="87"/>
  <c r="E1221" i="87"/>
  <c r="E2755" i="87"/>
  <c r="E2952" i="87"/>
  <c r="B7085" i="87"/>
  <c r="C7085" i="87" s="1"/>
  <c r="E6292" i="87"/>
  <c r="E1073" i="87"/>
  <c r="E2754" i="87"/>
  <c r="E6413" i="87"/>
  <c r="E1427" i="87"/>
  <c r="E1499" i="87"/>
  <c r="E6332" i="87"/>
  <c r="E1420" i="87"/>
  <c r="E1438" i="87"/>
  <c r="B6969" i="87"/>
  <c r="C6969" i="87" s="1"/>
  <c r="J117" i="73"/>
  <c r="B7146" i="87"/>
  <c r="E6244" i="87"/>
  <c r="E6348" i="87"/>
  <c r="E3432" i="87"/>
  <c r="E6642" i="87"/>
  <c r="E1328" i="87"/>
  <c r="E1365" i="87"/>
  <c r="E1446" i="87"/>
  <c r="E6364" i="87"/>
  <c r="E1191" i="87"/>
  <c r="E1422" i="87"/>
  <c r="B7174" i="87"/>
  <c r="C7174" i="87" s="1"/>
  <c r="G117" i="73"/>
  <c r="K117" i="73"/>
  <c r="B7124" i="87"/>
  <c r="E6354" i="87"/>
  <c r="E1269" i="87"/>
  <c r="E2786" i="87"/>
  <c r="E1417" i="87"/>
  <c r="E6220" i="87"/>
  <c r="E6258" i="87"/>
  <c r="E1091" i="87"/>
  <c r="E1208" i="87"/>
  <c r="E2762" i="87"/>
  <c r="E3009" i="87"/>
  <c r="E1442" i="87"/>
  <c r="E5837" i="87"/>
  <c r="E5843" i="87"/>
  <c r="E5122" i="87"/>
  <c r="E5169" i="87"/>
  <c r="E5724" i="87"/>
  <c r="E4895" i="87"/>
  <c r="E5960" i="87"/>
  <c r="E4341" i="87"/>
  <c r="E5621" i="87"/>
  <c r="E5791" i="87"/>
  <c r="E5286" i="87"/>
  <c r="E5870" i="87"/>
  <c r="E113" i="73"/>
  <c r="B7123" i="87"/>
  <c r="B7194" i="87"/>
  <c r="E903" i="87"/>
  <c r="E6252" i="87"/>
  <c r="E6331" i="87"/>
  <c r="E6358" i="87"/>
  <c r="E6415" i="87"/>
  <c r="E6419" i="87"/>
  <c r="E1388" i="87"/>
  <c r="E1049" i="87"/>
  <c r="E6262" i="87"/>
  <c r="E6291" i="87"/>
  <c r="E1080" i="87"/>
  <c r="E2920" i="87"/>
  <c r="E2740" i="87"/>
  <c r="E6383" i="87"/>
  <c r="E1270" i="87"/>
  <c r="E1327" i="87"/>
  <c r="E1414" i="87"/>
  <c r="E1428" i="87"/>
  <c r="E1445" i="87"/>
  <c r="D113" i="73"/>
  <c r="F117" i="73"/>
  <c r="B7164" i="87"/>
  <c r="E3006" i="87"/>
  <c r="E6256" i="87"/>
  <c r="E1062" i="87"/>
  <c r="E2917" i="87"/>
  <c r="E6362" i="87"/>
  <c r="E2951" i="87"/>
  <c r="E3336" i="87"/>
  <c r="E1051" i="87"/>
  <c r="E6266" i="87"/>
  <c r="E1072" i="87"/>
  <c r="E146" i="87"/>
  <c r="E2749" i="87"/>
  <c r="E150" i="87"/>
  <c r="E2785" i="87"/>
  <c r="E1416" i="87"/>
  <c r="E1447" i="87"/>
  <c r="H80" i="73"/>
  <c r="B7212" i="87"/>
  <c r="B7145" i="87"/>
  <c r="E6320" i="87"/>
  <c r="E2919" i="87"/>
  <c r="E1090" i="87"/>
  <c r="E6382" i="87"/>
  <c r="E1457" i="87"/>
  <c r="E6346" i="87"/>
  <c r="E2931" i="87"/>
  <c r="B7193" i="87"/>
  <c r="C7193" i="87" s="1"/>
  <c r="B7213" i="87"/>
  <c r="E6438" i="87"/>
  <c r="E6264" i="87"/>
  <c r="E1079" i="87"/>
  <c r="E2921" i="87"/>
  <c r="E2739" i="87"/>
  <c r="E2955" i="87"/>
  <c r="E6409" i="87"/>
  <c r="E1421" i="87"/>
  <c r="E2790" i="87"/>
  <c r="E6479" i="87"/>
  <c r="E6350" i="87"/>
  <c r="E1228" i="87"/>
  <c r="E2780" i="87"/>
  <c r="E6644" i="87"/>
  <c r="E6427" i="87"/>
  <c r="E5543" i="87"/>
  <c r="E5950" i="87"/>
  <c r="E4316" i="87"/>
  <c r="E4317" i="87"/>
  <c r="E4340" i="87"/>
  <c r="E5204" i="87"/>
  <c r="E4355" i="87"/>
  <c r="E4075" i="87"/>
  <c r="E5526" i="87"/>
  <c r="B6910" i="87"/>
  <c r="C6910" i="87" s="1"/>
  <c r="E1450" i="87"/>
  <c r="E1441" i="87"/>
  <c r="E1440" i="87"/>
  <c r="E1439" i="87"/>
  <c r="E1437" i="87"/>
  <c r="E1436" i="87"/>
  <c r="E1380" i="87"/>
  <c r="E1433" i="87"/>
  <c r="E2670" i="87"/>
  <c r="E1361" i="87"/>
  <c r="E1410" i="87"/>
  <c r="E3335" i="87"/>
  <c r="E3334" i="87"/>
  <c r="E1314" i="87"/>
  <c r="E1289" i="87"/>
  <c r="E1321" i="87"/>
  <c r="E2763" i="87"/>
  <c r="E1258" i="87"/>
  <c r="E1175" i="87"/>
  <c r="E1167" i="87"/>
  <c r="E1220" i="87"/>
  <c r="E1219" i="87"/>
  <c r="E2733" i="87"/>
  <c r="E2918" i="87"/>
  <c r="E929" i="87"/>
  <c r="E871" i="87"/>
  <c r="E755" i="87"/>
  <c r="E697" i="87"/>
  <c r="E1083" i="87"/>
  <c r="E813" i="87"/>
  <c r="E1074" i="87"/>
  <c r="E921" i="87"/>
  <c r="E863" i="87"/>
  <c r="E1071" i="87"/>
  <c r="E979" i="87"/>
  <c r="E805" i="87"/>
  <c r="E747" i="87"/>
  <c r="E689" i="87"/>
  <c r="E739" i="87"/>
  <c r="E1067" i="87"/>
  <c r="E6300" i="87"/>
  <c r="E6299" i="87"/>
  <c r="E910" i="87"/>
  <c r="E6634" i="87"/>
  <c r="E678" i="87"/>
  <c r="E968" i="87"/>
  <c r="E852" i="87"/>
  <c r="E794" i="87"/>
  <c r="E736" i="87"/>
  <c r="E1064" i="87"/>
  <c r="E1061" i="87"/>
  <c r="E849" i="87"/>
  <c r="E1060" i="87"/>
  <c r="E791" i="87"/>
  <c r="E675" i="87"/>
  <c r="E1057" i="87"/>
  <c r="E1056" i="87"/>
  <c r="E845" i="87"/>
  <c r="E787" i="87"/>
  <c r="E1055" i="87"/>
  <c r="E1053" i="87"/>
  <c r="E6248" i="87"/>
  <c r="E3325" i="87"/>
  <c r="E1044" i="87"/>
  <c r="E1050" i="87"/>
  <c r="E3324" i="87"/>
  <c r="E5230" i="87"/>
  <c r="E5562" i="87"/>
  <c r="E5311" i="87"/>
  <c r="E5457" i="87"/>
  <c r="E5278"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C4160" i="87" s="1"/>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F1085" i="87"/>
  <c r="F1077" i="87"/>
  <c r="F1429" i="87"/>
  <c r="E1429" i="87" s="1"/>
  <c r="F1063" i="87"/>
  <c r="F1296" i="87"/>
  <c r="F1418" i="87"/>
  <c r="F1331" i="87"/>
  <c r="F2781" i="87"/>
  <c r="F1459" i="87"/>
  <c r="F1223" i="87"/>
  <c r="F2774" i="87"/>
  <c r="F1452" i="87"/>
  <c r="F1474" i="87"/>
  <c r="F6481" i="87"/>
  <c r="F2046" i="87"/>
  <c r="F1498" i="87"/>
  <c r="F1052" i="87"/>
  <c r="F1319" i="87"/>
  <c r="F1432" i="87"/>
  <c r="F1398" i="87"/>
  <c r="E1398" i="87" s="1"/>
  <c r="F1468" i="87"/>
  <c r="F11" i="87"/>
  <c r="E11" i="87" s="1"/>
  <c r="B1066" i="87"/>
  <c r="C1066" i="87" s="1"/>
  <c r="B1444" i="87"/>
  <c r="C1444" i="87" s="1"/>
  <c r="H14" i="73"/>
  <c r="H102" i="73" s="1"/>
  <c r="B4101" i="87"/>
  <c r="C4101" i="87" s="1"/>
  <c r="H128" i="73"/>
  <c r="B1486" i="87"/>
  <c r="C1486" i="87" s="1"/>
  <c r="B1480" i="87"/>
  <c r="B1085" i="87"/>
  <c r="C1085" i="87" s="1"/>
  <c r="B1077" i="87"/>
  <c r="C1077" i="87" s="1"/>
  <c r="B1429" i="87"/>
  <c r="B1063" i="87"/>
  <c r="B1296" i="87"/>
  <c r="B1223" i="87"/>
  <c r="B1452" i="87"/>
  <c r="C1452" i="87" s="1"/>
  <c r="H16" i="73"/>
  <c r="H104" i="73" s="1"/>
  <c r="B1319" i="87"/>
  <c r="B1432" i="87"/>
  <c r="B1468" i="87"/>
  <c r="C1468" i="87" s="1"/>
  <c r="F7115" i="87"/>
  <c r="F6" i="87"/>
  <c r="F2502" i="87"/>
  <c r="F7" i="87"/>
  <c r="F2553" i="87"/>
  <c r="F2514" i="87"/>
  <c r="F10" i="87"/>
  <c r="F9" i="87"/>
  <c r="F8" i="87"/>
  <c r="F7158" i="87"/>
  <c r="E7158" i="87" s="1"/>
  <c r="F7207" i="87"/>
  <c r="E6437" i="87"/>
  <c r="E1211" i="87"/>
  <c r="E7095" i="87"/>
  <c r="B7115" i="87"/>
  <c r="C7115" i="87" s="1"/>
  <c r="D103" i="73"/>
  <c r="B7158" i="87"/>
  <c r="B7207" i="87"/>
  <c r="F6407" i="87"/>
  <c r="F6406" i="87"/>
  <c r="E6406" i="87" s="1"/>
  <c r="B6406" i="87"/>
  <c r="F1309" i="87"/>
  <c r="E1309" i="87" s="1"/>
  <c r="B1309" i="87"/>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E1202" i="87" s="1"/>
  <c r="F1210" i="87"/>
  <c r="F1177" i="87"/>
  <c r="F6387" i="87"/>
  <c r="F1185" i="87"/>
  <c r="F155" i="30"/>
  <c r="B1169" i="87"/>
  <c r="C1169" i="87" s="1"/>
  <c r="B1202" i="87"/>
  <c r="C1202" i="87" s="1"/>
  <c r="B1210" i="87"/>
  <c r="C1210" i="87" s="1"/>
  <c r="B1177" i="87"/>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F3262" i="87"/>
  <c r="F3176" i="87"/>
  <c r="B7063" i="87"/>
  <c r="B3262" i="87"/>
  <c r="C117" i="73"/>
  <c r="C1368" i="87"/>
  <c r="E1368" i="87"/>
  <c r="C1272"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1480" i="87"/>
  <c r="C4385" i="87"/>
  <c r="C6666" i="87"/>
  <c r="E6666" i="87"/>
  <c r="C1309" i="87"/>
  <c r="C5966" i="87"/>
  <c r="C6759" i="87"/>
  <c r="E6759" i="87"/>
  <c r="C6909" i="87"/>
  <c r="E6909" i="87"/>
  <c r="C3577" i="87"/>
  <c r="E3577" i="87"/>
  <c r="C6012" i="87"/>
  <c r="E6012" i="87"/>
  <c r="C3261" i="87"/>
  <c r="E3261" i="87"/>
  <c r="C722" i="87"/>
  <c r="E722" i="87"/>
  <c r="C729" i="87"/>
  <c r="E729" i="87"/>
  <c r="C1200" i="87"/>
  <c r="E1200" i="87"/>
  <c r="C11" i="87"/>
  <c r="C12" i="87"/>
  <c r="E12" i="87"/>
  <c r="C1429" i="87"/>
  <c r="C1063" i="87"/>
  <c r="C907" i="87"/>
  <c r="E907" i="87"/>
  <c r="C1491" i="87"/>
  <c r="E1491" i="87"/>
  <c r="C1296" i="87"/>
  <c r="C6003" i="87"/>
  <c r="E6003" i="87"/>
  <c r="C3528" i="87"/>
  <c r="E3528" i="87"/>
  <c r="C3175" i="87"/>
  <c r="E3175" i="87"/>
  <c r="C7124" i="87"/>
  <c r="E7124" i="87"/>
  <c r="C7164" i="87"/>
  <c r="E7164" i="87"/>
  <c r="C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2033" i="87"/>
  <c r="C1223" i="87"/>
  <c r="C6665" i="87"/>
  <c r="E6665" i="87"/>
  <c r="C3584" i="87"/>
  <c r="E3584" i="87"/>
  <c r="C2541" i="87"/>
  <c r="E2541" i="87"/>
  <c r="C2930" i="87"/>
  <c r="E2930" i="87"/>
  <c r="C6406" i="87"/>
  <c r="C3600" i="87"/>
  <c r="E3600" i="87"/>
  <c r="C1467" i="87"/>
  <c r="E1467" i="87"/>
  <c r="C3593" i="87"/>
  <c r="E3593" i="87"/>
  <c r="C6636" i="87"/>
  <c r="C3196" i="87"/>
  <c r="E3196" i="87"/>
  <c r="C1492" i="87"/>
  <c r="C1183" i="87"/>
  <c r="E1183" i="87"/>
  <c r="C1308" i="87"/>
  <c r="E1308" i="87"/>
  <c r="C5696" i="87"/>
  <c r="E5696" i="87"/>
  <c r="C5714" i="87"/>
  <c r="C5445" i="87"/>
  <c r="C6186" i="87"/>
  <c r="C5501" i="87"/>
  <c r="E5501" i="87"/>
  <c r="C5958" i="87"/>
  <c r="C1485" i="87"/>
  <c r="E1485" i="87"/>
  <c r="C4100" i="87"/>
  <c r="E4100" i="87"/>
  <c r="C7158" i="87"/>
  <c r="C7207" i="87"/>
  <c r="C1216" i="87"/>
  <c r="C156" i="87"/>
  <c r="E156" i="87"/>
  <c r="C1319" i="87"/>
  <c r="C1177" i="87"/>
  <c r="C7123" i="87"/>
  <c r="E7123" i="87"/>
  <c r="C7212" i="87"/>
  <c r="E7212" i="87"/>
  <c r="C7064" i="87"/>
  <c r="E7064" i="87"/>
  <c r="C3181" i="87"/>
  <c r="E3181" i="87"/>
  <c r="C3198" i="87"/>
  <c r="E3198" i="87"/>
  <c r="C3242" i="87"/>
  <c r="E3242" i="87"/>
  <c r="C3530" i="87"/>
  <c r="E3530" i="87"/>
  <c r="C7063" i="87"/>
  <c r="C7145" i="87"/>
  <c r="E7145" i="87"/>
  <c r="C7103" i="87"/>
  <c r="E7103" i="87"/>
  <c r="C7146" i="87"/>
  <c r="C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B3263" i="87" s="1"/>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7320" i="87" a="1"/>
  <c r="F5967" i="87" a="1"/>
  <c r="F1326" i="87" a="1"/>
  <c r="F7058" i="87" a="1"/>
  <c r="F4955" i="87" a="1"/>
  <c r="F817" i="87" a="1"/>
  <c r="F7175" i="87" a="1"/>
  <c r="F1454" i="87" a="1"/>
  <c r="F5365" i="87" a="1"/>
  <c r="F7315" i="87" a="1"/>
  <c r="F7079" i="87" a="1"/>
  <c r="F2604" i="87" a="1"/>
  <c r="F7318" i="87" a="1"/>
  <c r="F1170" i="87" a="1"/>
  <c r="F1225" i="87" a="1"/>
  <c r="F5858" i="87" a="1"/>
  <c r="F1262" i="87" a="1"/>
  <c r="F6369" i="87" a="1"/>
  <c r="F6391" i="87" a="1"/>
  <c r="F1320" i="87" a="1"/>
  <c r="F7321" i="87" a="1"/>
  <c r="F4388" i="87" a="1"/>
  <c r="F7102" i="87" a="1"/>
  <c r="F7097" i="87" a="1"/>
  <c r="F5976" i="87" a="1"/>
  <c r="F2551" i="87" a="1"/>
  <c r="F7316" i="87" a="1"/>
  <c r="F5451" i="87" a="1"/>
  <c r="F2500" i="87" a="1"/>
  <c r="F7140" i="87" a="1"/>
  <c r="F2543" i="87" a="1"/>
  <c r="F5270" i="87" a="1"/>
  <c r="F998" i="87" a="1"/>
  <c r="F2600" i="87" a="1"/>
  <c r="F2575" i="87" a="1"/>
  <c r="F3169" i="87" a="1"/>
  <c r="F7322" i="87" a="1"/>
  <c r="F7125" i="87" a="1"/>
  <c r="F701" i="87" a="1"/>
  <c r="F2574" i="87" a="1"/>
  <c r="F7157" i="87" a="1"/>
  <c r="F1226" i="87" a="1"/>
  <c r="F7195" i="87" a="1"/>
  <c r="F2540" i="87" a="1"/>
  <c r="F7076" i="87" a="1"/>
  <c r="F5167" i="87" a="1"/>
  <c r="F2555" i="87" a="1"/>
  <c r="F7129" i="87" a="1"/>
  <c r="F3513" i="87" a="1"/>
  <c r="F2603" i="87" a="1"/>
  <c r="F7084" i="87" a="1"/>
  <c r="F1231" i="87" a="1"/>
  <c r="F3263" i="87" a="1"/>
  <c r="F1178" i="87" a="1"/>
  <c r="F5988" i="87" a="1"/>
  <c r="F3662" i="87" a="1"/>
  <c r="F1217" i="87" a="1"/>
  <c r="F5496" i="87" a="1"/>
  <c r="F1504" i="87" a="1"/>
  <c r="F3182" i="87" a="1"/>
  <c r="F5986" i="87" a="1"/>
  <c r="F7319" i="87" a="1"/>
  <c r="F2508" i="87" a="1"/>
  <c r="F4387" i="87" a="1"/>
  <c r="F3514" i="87" a="1"/>
  <c r="F5890" i="87" a="1"/>
  <c r="F5663" i="87" a="1"/>
  <c r="F5597" i="87" a="1"/>
  <c r="F1087" i="87" a="1"/>
  <c r="F933" i="87" a="1"/>
  <c r="F875" i="87" a="1"/>
  <c r="F1186" i="87" a="1"/>
  <c r="F2547" i="87" a="1"/>
  <c r="F7214" i="87" a="1"/>
  <c r="F7118" i="87" a="1"/>
  <c r="F3518" i="87" a="1"/>
  <c r="F3221" i="87" a="1"/>
  <c r="F7156" i="87" a="1"/>
  <c r="F7186" i="87" a="1"/>
  <c r="F2516" i="87" a="1"/>
  <c r="F6187" i="87" a="1"/>
  <c r="F1297" i="87" a="1"/>
  <c r="F7108" i="87" a="1"/>
  <c r="F7147" i="87" a="1"/>
  <c r="F1095" i="87" a="1"/>
  <c r="F1203" i="87" a="1"/>
  <c r="F2605" i="87" a="1"/>
  <c r="F107" i="87" a="1"/>
  <c r="F1194" i="87" a="1"/>
  <c r="F3243" i="87" a="1"/>
  <c r="F6370" i="87" a="1"/>
  <c r="F759" i="87" a="1"/>
  <c r="F7055" i="87" a="1"/>
  <c r="F1089" i="87" a="1"/>
  <c r="F1275" i="87" a="1"/>
  <c r="F7047" i="87" a="1"/>
  <c r="F2535" i="87" a="1"/>
  <c r="F7069" i="87" a="1"/>
  <c r="F7317" i="87" a="1"/>
  <c r="F5722" i="87" a="1"/>
  <c r="F6390" i="87" a="1"/>
  <c r="F2495" i="87" a="1"/>
  <c r="F7065" i="87" a="1"/>
  <c r="F1392" i="87" a="1"/>
  <c r="F2599" i="87" a="1"/>
  <c r="F5987" i="87" a="1"/>
  <c r="F7163" i="87" a="1"/>
  <c r="F7137" i="87" a="1"/>
  <c r="F5813" i="87" a="1"/>
  <c r="F3221" i="87" l="1"/>
  <c r="F3243" i="87"/>
  <c r="F7195" i="87"/>
  <c r="F7163" i="87"/>
  <c r="F7102" i="87"/>
  <c r="E7102" i="87" s="1"/>
  <c r="F3182" i="87"/>
  <c r="F7125" i="87"/>
  <c r="E7125" i="87" s="1"/>
  <c r="F7214" i="87"/>
  <c r="E7214" i="87" s="1"/>
  <c r="F7084" i="87"/>
  <c r="F7147" i="87"/>
  <c r="E117" i="73"/>
  <c r="H117" i="73"/>
  <c r="B7195" i="87"/>
  <c r="C7195" i="87" s="1"/>
  <c r="E6910" i="87"/>
  <c r="B7163" i="87"/>
  <c r="E7207" i="87"/>
  <c r="B7102" i="87"/>
  <c r="C7102" i="87" s="1"/>
  <c r="D117" i="73"/>
  <c r="B7125" i="87"/>
  <c r="C7125" i="87" s="1"/>
  <c r="B7214" i="87"/>
  <c r="C7214" i="87" s="1"/>
  <c r="E7193" i="87"/>
  <c r="E3262" i="87"/>
  <c r="B7084" i="87"/>
  <c r="C7084" i="87" s="1"/>
  <c r="B7147" i="87"/>
  <c r="C7147" i="87" s="1"/>
  <c r="E6969" i="87"/>
  <c r="E7063" i="87"/>
  <c r="E1480" i="87"/>
  <c r="E7085" i="87"/>
  <c r="E1452" i="87"/>
  <c r="E1177" i="87"/>
  <c r="E1223" i="87"/>
  <c r="E1085"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F7137" i="87"/>
  <c r="F7055" i="87"/>
  <c r="F7058" i="87"/>
  <c r="E7058" i="87" s="1"/>
  <c r="F2605" i="87"/>
  <c r="F7157" i="87"/>
  <c r="F7097" i="87"/>
  <c r="F7156" i="87"/>
  <c r="F2500" i="87"/>
  <c r="F7076" i="87"/>
  <c r="F105" i="73"/>
  <c r="B7186" i="87"/>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D128" i="73"/>
  <c r="B1170" i="87"/>
  <c r="C1170" i="87" s="1"/>
  <c r="D131" i="73"/>
  <c r="F6370" i="87"/>
  <c r="F7322" i="87"/>
  <c r="B7322" i="87"/>
  <c r="C7322" i="87" s="1"/>
  <c r="F7321" i="87"/>
  <c r="F6369" i="87"/>
  <c r="B7321" i="87"/>
  <c r="F998" i="87"/>
  <c r="F7320" i="87"/>
  <c r="B7320" i="87"/>
  <c r="F7319" i="87"/>
  <c r="F933" i="87"/>
  <c r="B7319" i="87"/>
  <c r="C7319" i="87" s="1"/>
  <c r="C128" i="73"/>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F1089" i="87"/>
  <c r="F817" i="87"/>
  <c r="F7317" i="87"/>
  <c r="B817" i="87"/>
  <c r="C817" i="87" s="1"/>
  <c r="I13" i="103"/>
  <c r="C3" i="103" s="1"/>
  <c r="C53" i="76" s="1"/>
  <c r="B7317" i="87"/>
  <c r="F2495" i="87"/>
  <c r="C93" i="73"/>
  <c r="F7065" i="87"/>
  <c r="F107" i="87"/>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7186"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6040" i="87"/>
  <c r="E6040" i="87"/>
  <c r="C3240" i="87"/>
  <c r="E3240" i="87"/>
  <c r="C699" i="87"/>
  <c r="E699" i="87"/>
  <c r="C7320" i="87"/>
  <c r="C7317"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5452" i="87" a="1"/>
  <c r="F7181" i="87" a="1"/>
  <c r="F7189" i="87" a="1"/>
  <c r="F111" i="87" a="1"/>
  <c r="F5989" i="87" a="1"/>
  <c r="F1332" i="87" a="1"/>
  <c r="F5271" i="87" a="1"/>
  <c r="F7107" i="87" a="1"/>
  <c r="F7090" i="87" a="1"/>
  <c r="F7198" i="87" a="1"/>
  <c r="F7068" i="87" a="1"/>
  <c r="F2511" i="87" a="1"/>
  <c r="F2498" i="87" a="1"/>
  <c r="F7139" i="87" a="1"/>
  <c r="F2601" i="87" a="1"/>
  <c r="F7104" i="87" a="1"/>
  <c r="F96" i="87" a="1"/>
  <c r="F7089" i="87" a="1"/>
  <c r="F3625" i="87" a="1"/>
  <c r="F7135" i="87" a="1"/>
  <c r="F7117" i="87" a="1"/>
  <c r="F2504" i="87" a="1"/>
  <c r="F2602" i="87" a="1"/>
  <c r="F7046" i="87" a="1"/>
  <c r="F7843" i="87" a="1"/>
  <c r="F2576" i="87" a="1"/>
  <c r="F7179" i="87" a="1"/>
  <c r="F2515" i="87" a="1"/>
  <c r="F7165" i="87" a="1"/>
  <c r="F4085" i="87" a="1"/>
  <c r="F1096" i="87" a="1"/>
  <c r="F7078" i="87" a="1"/>
  <c r="F7091" i="87" a="1"/>
  <c r="F2548" i="87" a="1"/>
  <c r="F2538" i="87" a="1"/>
  <c r="F2578" i="87" a="1"/>
  <c r="F7280" i="87" a="1"/>
  <c r="F3516" i="87" a="1"/>
  <c r="F7138" i="87" a="1"/>
  <c r="F5859" i="87" a="1"/>
  <c r="F7152" i="87" a="1"/>
  <c r="F7323" i="87" a="1"/>
  <c r="F5814" i="87" a="1"/>
  <c r="F2542" i="87" a="1"/>
  <c r="F7180" i="87" a="1"/>
  <c r="F3515" i="87" a="1"/>
  <c r="F7086" i="87" a="1"/>
  <c r="F2513" i="87" a="1"/>
  <c r="F7150" i="87" a="1"/>
  <c r="F1232" i="87" a="1"/>
  <c r="F7159" i="87" a="1"/>
  <c r="F2497" i="87" a="1"/>
  <c r="F2552" i="87" a="1"/>
  <c r="F2503" i="87" a="1"/>
  <c r="F7199" i="87" a="1"/>
  <c r="F6057" i="87" a="1"/>
  <c r="F7169" i="87" a="1"/>
  <c r="F2537" i="87" a="1"/>
  <c r="F6616" i="87" a="1"/>
  <c r="F3170" i="87" a="1"/>
  <c r="F2510" i="87" a="1"/>
  <c r="F1276" i="87" a="1"/>
  <c r="F7206" i="87" a="1"/>
  <c r="F7170" i="87" a="1"/>
  <c r="F7128" i="87" a="1"/>
  <c r="F2501" i="87" a="1"/>
  <c r="F5664" i="87" a="1"/>
  <c r="F7176" i="87" a="1"/>
  <c r="F7168" i="87" a="1"/>
  <c r="F7151" i="87" a="1"/>
  <c r="F1461" i="87" a="1"/>
  <c r="F7200" i="87" a="1"/>
  <c r="F7114" i="87" a="1"/>
  <c r="F2549" i="87" a="1"/>
  <c r="F7165" i="87" l="1"/>
  <c r="F7104" i="87"/>
  <c r="F7086" i="87"/>
  <c r="E7137" i="87"/>
  <c r="E7140" i="87"/>
  <c r="E7097" i="87"/>
  <c r="E107" i="87"/>
  <c r="E7069" i="87"/>
  <c r="B7165" i="87"/>
  <c r="C7165" i="87" s="1"/>
  <c r="B7104" i="87"/>
  <c r="C7104" i="87" s="1"/>
  <c r="E7195" i="87"/>
  <c r="B7086" i="87"/>
  <c r="C7086" i="87" s="1"/>
  <c r="E7147" i="87"/>
  <c r="L130" i="73"/>
  <c r="E7084" i="87"/>
  <c r="L128" i="73"/>
  <c r="E7055" i="87"/>
  <c r="E2500" i="87"/>
  <c r="E5663" i="87"/>
  <c r="F132" i="73"/>
  <c r="E1170" i="87"/>
  <c r="E1178" i="87"/>
  <c r="E7320" i="87"/>
  <c r="L124" i="73"/>
  <c r="E817" i="87"/>
  <c r="E7319" i="87"/>
  <c r="E7321" i="87"/>
  <c r="E7317" i="87"/>
  <c r="F7200" i="87"/>
  <c r="F7181" i="87"/>
  <c r="B7181" i="87"/>
  <c r="C7181" i="87" s="1"/>
  <c r="F7170" i="87"/>
  <c r="E7170" i="87" s="1"/>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C7139" i="87" s="1"/>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H4" i="97"/>
  <c r="H30" i="97" s="1"/>
  <c r="B7150" i="87"/>
  <c r="C7150" i="87" s="1"/>
  <c r="K4" i="97"/>
  <c r="K11" i="97" s="1"/>
  <c r="I22" i="73"/>
  <c r="I81" i="73"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B2556" i="87" s="1"/>
  <c r="F7323" i="87"/>
  <c r="F2503" i="87"/>
  <c r="F1096" i="87"/>
  <c r="B7323" i="87"/>
  <c r="C7323" i="87" s="1"/>
  <c r="C104" i="73"/>
  <c r="B1096" i="87"/>
  <c r="C1096" i="87" s="1"/>
  <c r="F7843" i="87"/>
  <c r="F7046" i="87"/>
  <c r="F5271" i="87"/>
  <c r="B7046" i="87"/>
  <c r="C7046" i="87" s="1"/>
  <c r="F7176" i="87"/>
  <c r="F7280" i="87"/>
  <c r="F111" i="87"/>
  <c r="B7176" i="87"/>
  <c r="C7176" i="87" s="1"/>
  <c r="B111" i="87"/>
  <c r="E7065" i="87"/>
  <c r="C1089" i="87"/>
  <c r="E1089" i="87"/>
  <c r="C1461" i="87"/>
  <c r="C3616" i="87"/>
  <c r="E3616" i="87"/>
  <c r="C1275" i="87"/>
  <c r="E1275" i="87"/>
  <c r="C3587" i="87"/>
  <c r="E3587" i="87"/>
  <c r="C3573" i="87"/>
  <c r="E3573" i="87"/>
  <c r="C875" i="87"/>
  <c r="E875" i="87"/>
  <c r="C408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E11" i="97"/>
  <c r="E30" i="97"/>
  <c r="H11"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3171" i="87"/>
  <c r="B5989" i="87"/>
  <c r="J11" i="73"/>
  <c r="J22" i="73"/>
  <c r="G132" i="73"/>
  <c r="L125" i="73"/>
  <c r="F7285" i="87" a="1"/>
  <c r="F7070" i="87" a="1"/>
  <c r="F100" i="87" a="1"/>
  <c r="F125" i="87" a="1"/>
  <c r="F7077" i="87" a="1"/>
  <c r="F2579" i="87" a="1"/>
  <c r="F4071" i="87" a="1"/>
  <c r="F7080" i="87" a="1"/>
  <c r="F7240" i="87" a="1"/>
  <c r="F7171" i="87" a="1"/>
  <c r="F82" i="87" a="1"/>
  <c r="F5991" i="87" a="1"/>
  <c r="F2539" i="87" a="1"/>
  <c r="F2550" i="87" a="1"/>
  <c r="F7110" i="87" a="1"/>
  <c r="F2544" i="87" a="1"/>
  <c r="F7056" i="87" a="1"/>
  <c r="F7130" i="87" a="1"/>
  <c r="F7289" i="87" a="1"/>
  <c r="F1505" i="87" a="1"/>
  <c r="F7201" i="87" a="1"/>
  <c r="F1097" i="87" a="1"/>
  <c r="F7271" i="87" a="1"/>
  <c r="F7191" i="87" a="1"/>
  <c r="F7116" i="87" a="1"/>
  <c r="F7131" i="87" a="1"/>
  <c r="F102" i="87" a="1"/>
  <c r="F1277" i="87" a="1"/>
  <c r="F2505" i="87" a="1"/>
  <c r="F127" i="87" a="1"/>
  <c r="F7153" i="87" a="1"/>
  <c r="F7075" i="87" a="1"/>
  <c r="F2499" i="87" a="1"/>
  <c r="F4068" i="87" a="1"/>
  <c r="F7057" i="87" a="1"/>
  <c r="F1333" i="87" a="1"/>
  <c r="F7267" i="87" a="1"/>
  <c r="F6043" i="87" a="1"/>
  <c r="F3171" i="87" a="1"/>
  <c r="F7071" i="87" a="1"/>
  <c r="F7048" i="87" a="1"/>
  <c r="F7204" i="87" a="1"/>
  <c r="F7109" i="87" a="1"/>
  <c r="F2606" i="87" a="1"/>
  <c r="F7182" i="87" a="1"/>
  <c r="F2556" i="87" a="1"/>
  <c r="F7136" i="87" a="1"/>
  <c r="F7092" i="87" a="1"/>
  <c r="F7096" i="87" a="1"/>
  <c r="F6061" i="87" a="1"/>
  <c r="F7049" i="87" a="1"/>
  <c r="F2512" i="87" a="1"/>
  <c r="F94" i="87" a="1"/>
  <c r="F7161" i="87" a="1"/>
  <c r="F7282" i="87" a="1"/>
  <c r="F5995" i="87" a="1"/>
  <c r="F7054" i="87" a="1"/>
  <c r="F5996" i="87" a="1"/>
  <c r="F7324" i="87" a="1"/>
  <c r="F4074" i="87" a="1"/>
  <c r="F92" i="87" a="1"/>
  <c r="F49" i="87" a="1"/>
  <c r="F1233" i="87" a="1"/>
  <c r="F3267" i="87" a="1"/>
  <c r="F47" i="87" a="1"/>
  <c r="F1462" i="87" a="1"/>
  <c r="F2517" i="87" a="1"/>
  <c r="F4072" i="87" a="1"/>
  <c r="E7181" i="87" l="1"/>
  <c r="E111" i="87"/>
  <c r="E7086" i="87"/>
  <c r="E7152" i="87"/>
  <c r="E7104" i="87"/>
  <c r="E7165" i="87"/>
  <c r="G21" i="73"/>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F7077" i="87"/>
  <c r="B7077" i="87"/>
  <c r="C7077" i="87" s="1"/>
  <c r="F7057" i="87"/>
  <c r="B7057" i="87"/>
  <c r="C7057" i="87" s="1"/>
  <c r="F2517" i="87"/>
  <c r="F7080"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61" i="87" a="1"/>
  <c r="F35" i="87" a="1"/>
  <c r="F7264" i="87" a="1"/>
  <c r="F7242" i="87" a="1"/>
  <c r="F7172" i="87" a="1"/>
  <c r="F7244" i="87" a="1"/>
  <c r="F4070" i="87" a="1"/>
  <c r="F6041" i="87" a="1"/>
  <c r="F7203" i="87" a="1"/>
  <c r="F7094" i="87" a="1"/>
  <c r="F90" i="87" a="1"/>
  <c r="F7132" i="87" a="1"/>
  <c r="F6055" i="87" a="1"/>
  <c r="F66" i="87" a="1"/>
  <c r="F7082" i="87" a="1"/>
  <c r="F7294" i="87" a="1"/>
  <c r="F7291" i="87" a="1"/>
  <c r="F7192" i="87" a="1"/>
  <c r="F7162" i="87" a="1"/>
  <c r="F7296" i="87" a="1"/>
  <c r="F4080" i="87" a="1"/>
  <c r="F7173" i="87" a="1"/>
  <c r="F1644" i="87" a="1"/>
  <c r="F7177" i="87" a="1"/>
  <c r="F4066" i="87" a="1"/>
  <c r="F50" i="87" a="1"/>
  <c r="F76" i="87" a="1"/>
  <c r="F4067" i="87" a="1"/>
  <c r="F4081" i="87" a="1"/>
  <c r="F2557" i="87" a="1"/>
  <c r="F4083" i="87" a="1"/>
  <c r="F7287" i="87" a="1"/>
  <c r="F2518" i="87" a="1"/>
  <c r="F18" i="87" a="1"/>
  <c r="F2580" i="87" a="1"/>
  <c r="F4084" i="87" a="1"/>
  <c r="F7262" i="87" a="1"/>
  <c r="F64" i="87" a="1"/>
  <c r="F30" i="87" a="1"/>
  <c r="F2506" i="87" a="1"/>
  <c r="F128" i="87" a="1"/>
  <c r="F7119" i="87" a="1"/>
  <c r="F105" i="87" a="1"/>
  <c r="F59" i="87" a="1"/>
  <c r="F95" i="87" a="1"/>
  <c r="F7098" i="87" a="1"/>
  <c r="F7111" i="87" a="1"/>
  <c r="F7155" i="87" a="1"/>
  <c r="F7269" i="87" a="1"/>
  <c r="F78" i="87" a="1"/>
  <c r="F7141" i="87" a="1"/>
  <c r="F7273" i="87" a="1"/>
  <c r="F4069" i="87" a="1"/>
  <c r="F7072" i="87" a="1"/>
  <c r="F2545" i="87" a="1"/>
  <c r="F7276" i="87" a="1"/>
  <c r="F7184" i="87" a="1"/>
  <c r="F4082" i="87" a="1"/>
  <c r="F51" i="87" a="1"/>
  <c r="F13" i="87" a="1"/>
  <c r="F4084" i="87" l="1"/>
  <c r="E4084" i="87" s="1"/>
  <c r="F7294" i="87"/>
  <c r="E7294" i="87" s="1"/>
  <c r="E125" i="87"/>
  <c r="F30" i="97"/>
  <c r="B7249" i="87" s="1"/>
  <c r="F34" i="97"/>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E1505" i="87"/>
  <c r="E6061" i="87"/>
  <c r="E82" i="87"/>
  <c r="E1333" i="87"/>
  <c r="F4083" i="87"/>
  <c r="F7119" i="87"/>
  <c r="F76" i="87"/>
  <c r="F66" i="87"/>
  <c r="B4083" i="87"/>
  <c r="C4083" i="87" s="1"/>
  <c r="B7119" i="87"/>
  <c r="C7119" i="87" s="1"/>
  <c r="B76" i="87"/>
  <c r="B66" i="87"/>
  <c r="F59" i="87"/>
  <c r="F51" i="87"/>
  <c r="F4082" i="87"/>
  <c r="F7244" i="87"/>
  <c r="F7098" i="87"/>
  <c r="E1277" i="87"/>
  <c r="B51" i="87"/>
  <c r="B4082" i="87"/>
  <c r="B7098" i="87"/>
  <c r="C7098" i="87" s="1"/>
  <c r="E7077" i="87"/>
  <c r="E7324" i="87"/>
  <c r="E1233" i="87"/>
  <c r="E7080" i="87"/>
  <c r="E49" i="87"/>
  <c r="E127" i="87"/>
  <c r="F4081" i="87"/>
  <c r="F35" i="87"/>
  <c r="F7082" i="87"/>
  <c r="B4081" i="87"/>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E7264" i="87" s="1"/>
  <c r="F7141" i="87"/>
  <c r="F7262" i="87"/>
  <c r="B90" i="87"/>
  <c r="C90" i="87" s="1"/>
  <c r="G81" i="73"/>
  <c r="B1630" i="87" s="1"/>
  <c r="B7264" i="87"/>
  <c r="C7264" i="87" s="1"/>
  <c r="B7141" i="87"/>
  <c r="C7141" i="87" s="1"/>
  <c r="B7262" i="87"/>
  <c r="C7262"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4081" i="87"/>
  <c r="C2499" i="87"/>
  <c r="E2499" i="87"/>
  <c r="C2512" i="87"/>
  <c r="E2512" i="87"/>
  <c r="C2544" i="87"/>
  <c r="E2544" i="87"/>
  <c r="C4082" i="87"/>
  <c r="C2539" i="87"/>
  <c r="E2539"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101" i="87" a="1"/>
  <c r="F7166" i="87" a="1"/>
  <c r="F7134" i="87" a="1"/>
  <c r="F7231" i="87" a="1"/>
  <c r="F6056" i="87" a="1"/>
  <c r="F6062" i="87" a="1"/>
  <c r="F7297" i="87" a="1"/>
  <c r="F1616" i="87" a="1"/>
  <c r="F7246" i="87" a="1"/>
  <c r="F101" i="87" a="1"/>
  <c r="F7083" i="87" a="1"/>
  <c r="F7222" i="87" a="1"/>
  <c r="F7226" i="87" a="1"/>
  <c r="F7249" i="87" a="1"/>
  <c r="F7113" i="87" a="1"/>
  <c r="F1588" i="87" a="1"/>
  <c r="F7292" i="87" a="1"/>
  <c r="F7274" i="87" a="1"/>
  <c r="F60" i="87" a="1"/>
  <c r="F16" i="87" a="1"/>
  <c r="F7143" i="87" a="1"/>
  <c r="F7122" i="87" a="1"/>
  <c r="F65" i="87" a="1"/>
  <c r="F7074" i="87" a="1"/>
  <c r="F7255" i="87" a="1"/>
  <c r="F1630" i="87" a="1"/>
  <c r="F7258" i="87" a="1"/>
  <c r="F1574" i="87" a="1"/>
  <c r="F7270" i="87" a="1"/>
  <c r="F7144" i="87" a="1"/>
  <c r="F7278" i="87" a="1"/>
  <c r="F7288" i="87" a="1"/>
  <c r="F7253" i="87" a="1"/>
  <c r="F7235" i="87" a="1"/>
  <c r="F7100" i="87" a="1"/>
  <c r="F80" i="87" a="1"/>
  <c r="F7196" i="87" a="1"/>
  <c r="F106" i="87" a="1"/>
  <c r="F45" i="87" a="1"/>
  <c r="F33" i="87" a="1"/>
  <c r="F7251" i="87" a="1"/>
  <c r="F7243" i="87" a="1"/>
  <c r="F28" i="87" a="1"/>
  <c r="F1602" i="87" a="1"/>
  <c r="F7121" i="87" a="1"/>
  <c r="E7262" i="87" l="1"/>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B7255" i="87"/>
  <c r="C7255" i="87" s="1"/>
  <c r="E66" i="87"/>
  <c r="C66" i="87"/>
  <c r="E7098" i="87"/>
  <c r="F7246" i="87"/>
  <c r="F7100" i="87"/>
  <c r="B7100" i="87"/>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251"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10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244" i="87"/>
  <c r="E7244" i="87"/>
  <c r="C7121" i="87"/>
  <c r="C7243"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105" i="87" a="1"/>
  <c r="F77" i="87" a="1"/>
  <c r="F7260" i="87" a="1"/>
  <c r="F7237" i="87" a="1"/>
  <c r="F7279" i="87" a="1"/>
  <c r="F81" i="87" a="1"/>
  <c r="F7148" i="87" a="1"/>
  <c r="F112" i="87" a="1"/>
  <c r="F7252" i="87" a="1"/>
  <c r="F17" i="87" a="1"/>
  <c r="F7126" i="87" a="1"/>
  <c r="F7247" i="87" a="1"/>
  <c r="F7087" i="87" a="1"/>
  <c r="F7066" i="87" a="1"/>
  <c r="F34" i="87" a="1"/>
  <c r="F7233" i="87" a="1"/>
  <c r="E7288" i="87" l="1"/>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725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61" i="87" a="1"/>
  <c r="F7283" i="87" a="1"/>
  <c r="F29" i="87" a="1"/>
  <c r="F7234" i="87" a="1"/>
  <c r="F7256" i="87" a="1"/>
  <c r="F91" i="87" a="1"/>
  <c r="F46" i="87" a="1"/>
  <c r="F7050" i="87" a="1"/>
  <c r="F7053"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24" i="87" a="1"/>
  <c r="F7059" i="87" a="1"/>
  <c r="F7238" i="87" a="1"/>
  <c r="F7265" i="87" a="1"/>
  <c r="F7052"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061" i="87" a="1"/>
  <c r="F7225" i="87" a="1"/>
  <c r="F7228" i="87" a="1"/>
  <c r="F7062" i="87" a="1"/>
  <c r="F3517"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3519" i="87" a="1"/>
  <c r="F7205" i="87" a="1"/>
  <c r="F722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3520" i="87" a="1"/>
  <c r="F7208" i="87" a="1"/>
  <c r="F4088" i="87" a="1"/>
  <c r="F4088" i="87" l="1"/>
  <c r="F129" i="87"/>
  <c r="F7208" i="87"/>
  <c r="B4088" i="87"/>
  <c r="C4088" i="87" s="1"/>
  <c r="B129" i="87"/>
  <c r="C129" i="87" s="1"/>
  <c r="B7208" i="87"/>
  <c r="F3520" i="87"/>
  <c r="K81" i="73"/>
  <c r="B3535" i="87" s="1"/>
  <c r="E7229" i="87"/>
  <c r="C7205" i="87"/>
  <c r="E7205" i="87"/>
  <c r="C3519" i="87"/>
  <c r="E3519" i="87"/>
  <c r="C7208" i="87"/>
  <c r="K109" i="73"/>
  <c r="K110" i="73"/>
  <c r="K20" i="97"/>
  <c r="K34" i="97"/>
  <c r="B3520" i="87"/>
  <c r="F3535" i="87" a="1"/>
  <c r="F136" i="87" a="1"/>
  <c r="F7298" i="87" a="1"/>
  <c r="F7211" i="87" a="1"/>
  <c r="F7210"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7215" i="87" a="1"/>
  <c r="F137" i="87" a="1"/>
  <c r="F7300"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<sst xmlns="http://schemas.openxmlformats.org/spreadsheetml/2006/main" count="18074" uniqueCount="7255">
  <si>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</si>
  <si>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</si>
  <si>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</si>
  <si>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</si>
  <si>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</si>
  <si>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</si>
  <si>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</si>
  <si>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</si>
  <si>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</si>
  <si>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</si>
  <si>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</si>
  <si>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</si>
  <si>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</si>
  <si>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</si>
  <si>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</si>
  <si>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</si>
  <si>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</si>
  <si>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</si>
  <si>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</si>
  <si>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</si>
  <si>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</si>
  <si>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</si>
  <si>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</si>
  <si>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</si>
  <si>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</si>
  <si>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</si>
  <si>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</si>
  <si>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</si>
  <si>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</si>
  <si>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</si>
  <si>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</si>
  <si>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</si>
  <si>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</si>
  <si>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</si>
  <si>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</si>
  <si>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</si>
  <si>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</si>
  <si>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</si>
  <si>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</si>
  <si>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</si>
  <si>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</si>
  <si>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</si>
  <si>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</si>
  <si>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</si>
  <si>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</si>
  <si>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</si>
  <si>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</si>
  <si>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</si>
  <si>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</si>
  <si>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</si>
  <si>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</si>
  <si>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</si>
  <si>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</si>
  <si>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</si>
  <si>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</si>
  <si>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</si>
  <si>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</si>
  <si>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</si>
  <si>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</si>
  <si>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</si>
  <si>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</si>
  <si>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</si>
  <si>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</si>
  <si>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</si>
  <si>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</si>
  <si>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</si>
  <si>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</si>
  <si>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</si>
  <si>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</si>
  <si>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</si>
  <si>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</si>
  <si>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</si>
  <si>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</si>
  <si>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</si>
  <si>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</si>
  <si>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</si>
  <si>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</si>
  <si>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</si>
  <si>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</si>
  <si>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</si>
  <si>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</si>
  <si>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</si>
  <si>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</si>
  <si>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</si>
  <si>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</si>
  <si>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</si>
  <si>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</si>
  <si>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</si>
  <si>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</si>
  <si>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</si>
  <si>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</si>
  <si>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</si>
  <si>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</si>
  <si>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</si>
  <si>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</si>
  <si>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</si>
  <si>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</si>
  <si>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</si>
  <si>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</si>
  <si>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</si>
  <si>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</si>
  <si>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</si>
  <si>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</si>
  <si>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</si>
  <si>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</si>
  <si>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</si>
  <si>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</si>
  <si>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</si>
  <si>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</si>
  <si>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</si>
  <si>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</si>
  <si>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</si>
  <si>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</si>
  <si>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</si>
  <si>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</si>
  <si>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</si>
  <si>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</si>
  <si>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</si>
  <si>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</si>
  <si>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</si>
  <si>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</si>
  <si>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</si>
  <si>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</si>
  <si>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</si>
  <si>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</si>
  <si>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</si>
  <si>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</si>
  <si>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</si>
  <si>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</si>
  <si>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</si>
  <si>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</si>
  <si>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</si>
  <si>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</si>
  <si>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</si>
  <si>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</si>
  <si>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</si>
  <si>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</si>
  <si>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</si>
  <si>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</si>
  <si>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</si>
  <si>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</si>
  <si>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</si>
  <si>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</si>
  <si>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</si>
  <si>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</si>
  <si>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</si>
  <si>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</si>
  <si>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</si>
  <si>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</si>
  <si>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</si>
  <si>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</si>
  <si>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</si>
  <si>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</si>
  <si>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</si>
  <si>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</si>
  <si>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</si>
  <si>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</si>
  <si>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</si>
  <si>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</si>
  <si>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</si>
  <si>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</si>
  <si>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</si>
  <si>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</si>
  <si>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</si>
  <si>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</si>
  <si>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</si>
  <si>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</si>
  <si>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</si>
  <si>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</si>
  <si>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</si>
  <si>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</si>
  <si>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</si>
  <si>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</si>
  <si>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</si>
  <si>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</si>
  <si>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</si>
  <si>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</si>
  <si>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</si>
  <si>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</si>
  <si>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</si>
  <si>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</si>
  <si>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</si>
  <si>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</si>
  <si>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</si>
  <si>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</si>
  <si>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</si>
  <si>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</si>
  <si>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</si>
  <si>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</si>
  <si>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</si>
  <si>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</si>
  <si>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</si>
  <si>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</si>
  <si>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</si>
  <si>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</si>
  <si>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</si>
  <si>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</si>
  <si>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</si>
  <si>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</si>
  <si>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</si>
  <si>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</si>
  <si>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</si>
  <si>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</si>
  <si>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</si>
  <si>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</si>
  <si>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</si>
  <si>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</si>
  <si>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</si>
  <si>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</si>
  <si>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</si>
  <si>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</si>
  <si>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</si>
  <si>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</si>
  <si>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</si>
  <si>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</si>
  <si>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</si>
  <si>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</si>
  <si>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</si>
  <si>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</si>
  <si>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</si>
  <si>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</si>
  <si>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</si>
  <si>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</si>
  <si>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</si>
  <si>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</si>
  <si>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</si>
  <si>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</si>
  <si>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</si>
  <si>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</si>
  <si>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</si>
  <si>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</si>
  <si>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</si>
  <si>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</si>
  <si>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</si>
  <si>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</si>
  <si>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</si>
  <si>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</si>
  <si>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</si>
  <si>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</si>
  <si>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</si>
  <si>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</si>
  <si>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</si>
  <si>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</si>
  <si>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</si>
  <si>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</si>
  <si>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</si>
  <si>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</si>
  <si>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</si>
  <si>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</si>
  <si>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</si>
  <si>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</si>
  <si>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</si>
  <si>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</si>
  <si>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</si>
  <si>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</si>
  <si>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</si>
  <si>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</si>
  <si>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</si>
  <si>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</si>
  <si>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</si>
  <si>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</si>
  <si>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</si>
  <si>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</si>
  <si>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</si>
  <si>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</si>
  <si>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</si>
  <si>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</si>
  <si>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</si>
  <si>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</si>
  <si>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</si>
  <si>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</si>
  <si>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</si>
  <si>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</si>
  <si>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</si>
  <si>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</si>
  <si>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</si>
  <si>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</si>
  <si>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</si>
  <si>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</si>
  <si>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</si>
  <si>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</si>
  <si>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</si>
  <si>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</si>
  <si>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</si>
  <si>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</si>
  <si>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</si>
  <si>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</si>
  <si>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</si>
  <si>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</si>
  <si>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</si>
  <si>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</si>
  <si>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</si>
  <si>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</si>
  <si>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</si>
  <si>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</si>
  <si>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</si>
  <si>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</si>
  <si>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</si>
  <si>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</si>
  <si>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</si>
  <si>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</si>
  <si>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</si>
  <si>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</si>
  <si>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</si>
  <si>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</si>
  <si>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</si>
  <si>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</si>
  <si>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</si>
  <si>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</si>
  <si>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</si>
  <si>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</si>
  <si>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</si>
  <si>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</si>
  <si>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</si>
  <si>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</si>
  <si>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</si>
  <si>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</si>
  <si>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</si>
  <si>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</si>
  <si>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</si>
  <si>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</si>
  <si>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</si>
  <si>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</si>
  <si>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</si>
  <si>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</si>
  <si>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</si>
  <si>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</si>
  <si>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</si>
  <si>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</si>
  <si>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</si>
  <si>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</si>
  <si>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</si>
  <si>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</si>
  <si>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</si>
  <si>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</si>
  <si>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</si>
  <si>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</si>
  <si>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</si>
  <si>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</si>
  <si>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</si>
  <si>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</si>
  <si>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</si>
  <si>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</si>
  <si>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</si>
  <si>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</si>
  <si>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</si>
  <si>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</si>
  <si>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</si>
  <si>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</si>
  <si>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</si>
  <si>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</si>
  <si>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</si>
  <si>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</si>
  <si>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</si>
  <si>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</si>
  <si>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</si>
  <si>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</si>
  <si>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</si>
  <si>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</si>
  <si>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</si>
  <si>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</si>
  <si>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</si>
  <si>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</si>
  <si>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</si>
  <si>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</si>
  <si>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</si>
  <si>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</si>
  <si>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</si>
  <si>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</si>
  <si>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</si>
  <si>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</si>
  <si>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</si>
  <si>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</si>
  <si>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</si>
  <si>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</si>
  <si>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</si>
  <si>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</si>
  <si>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</si>
  <si>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</si>
  <si>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</si>
  <si>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</si>
  <si>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</si>
  <si>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</si>
  <si>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</si>
  <si>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</si>
  <si>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</si>
  <si>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</si>
  <si>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</si>
  <si>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</si>
  <si>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</si>
  <si>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</si>
  <si>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</si>
  <si>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</si>
  <si>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</si>
  <si>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</si>
  <si>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</si>
  <si>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</si>
  <si>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</si>
  <si>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</si>
  <si>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</si>
  <si>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</si>
  <si>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</si>
  <si>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</si>
  <si>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</si>
  <si>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</si>
  <si>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</si>
  <si>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</si>
  <si>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</si>
  <si>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</si>
  <si>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</si>
  <si>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</si>
  <si>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</si>
  <si>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</si>
  <si>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</si>
  <si>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</si>
  <si>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</si>
  <si>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</si>
  <si>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</si>
  <si>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</si>
  <si>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</si>
  <si>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</si>
  <si>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</si>
  <si>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</si>
  <si>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</si>
  <si>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</si>
  <si>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</si>
  <si>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</si>
  <si>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</si>
  <si>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</si>
  <si>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</si>
  <si>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</si>
  <si>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</si>
  <si>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</si>
  <si>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</si>
  <si>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</si>
  <si>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</si>
  <si>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</si>
  <si>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</si>
  <si>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</si>
  <si>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</si>
  <si>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</si>
  <si>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</si>
  <si>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</si>
  <si>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</si>
  <si>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</si>
  <si>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</si>
  <si>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</si>
  <si>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</si>
  <si>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</si>
  <si>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</si>
  <si>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</si>
  <si>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</si>
  <si>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</si>
  <si>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</si>
  <si>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</si>
  <si>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</si>
  <si>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</si>
  <si>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</si>
  <si>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</si>
  <si>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</si>
  <si>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</si>
  <si>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</si>
  <si>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</si>
  <si>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</si>
  <si>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</si>
  <si>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</si>
  <si>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</si>
  <si>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</si>
  <si>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</si>
  <si>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</si>
  <si>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</si>
  <si>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</si>
  <si>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</si>
  <si>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</si>
  <si>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</si>
  <si>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</si>
  <si>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</si>
  <si>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</si>
  <si>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</si>
  <si>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</si>
  <si>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</si>
  <si>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</si>
  <si>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</si>
  <si>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</si>
  <si>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</si>
  <si>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</si>
  <si>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</si>
  <si>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</si>
  <si>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</si>
  <si>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</si>
  <si>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</si>
  <si>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</si>
  <si>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</si>
  <si>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</si>
  <si>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</si>
  <si>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</si>
  <si>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</si>
  <si>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</si>
  <si>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</si>
  <si>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</si>
  <si>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</si>
  <si>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</si>
  <si>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</si>
  <si>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</si>
  <si>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</si>
  <si>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</si>
  <si>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</si>
  <si>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</si>
  <si>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</si>
  <si>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</si>
  <si>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</si>
  <si>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</si>
  <si>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</si>
  <si>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</si>
  <si>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</si>
  <si>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</si>
  <si>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</si>
  <si>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</si>
  <si>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</si>
  <si>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</si>
  <si>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</si>
  <si>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</si>
  <si>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</si>
  <si>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</si>
  <si>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</si>
  <si>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</si>
  <si>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</si>
  <si>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</si>
  <si>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</si>
  <si>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</si>
  <si>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</si>
  <si>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</si>
  <si>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</si>
  <si>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</si>
  <si>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</si>
  <si>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</si>
  <si>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</si>
  <si>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</si>
  <si>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</si>
  <si>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</si>
  <si>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</si>
  <si>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</si>
  <si>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</si>
  <si>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</si>
  <si>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</si>
  <si>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</si>
  <si>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</si>
  <si>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</si>
  <si>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</si>
  <si>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</si>
  <si>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</si>
  <si>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</si>
  <si>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</si>
  <si>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</si>
  <si>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</si>
  <si>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</si>
  <si>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</si>
  <si>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</si>
  <si>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</si>
  <si>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</si>
  <si>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</si>
  <si>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</si>
  <si>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</si>
  <si>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</si>
  <si>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</si>
  <si>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</si>
  <si>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</si>
  <si>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</si>
  <si>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</si>
  <si>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</si>
  <si>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</si>
  <si>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</si>
  <si>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</si>
  <si>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</si>
  <si>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</si>
  <si>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</si>
  <si>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</si>
  <si>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</si>
  <si>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</si>
  <si>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</si>
  <si>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</si>
  <si>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</si>
  <si>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</si>
  <si>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</si>
  <si>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</si>
  <si>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</si>
  <si>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</si>
  <si>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</si>
  <si>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</si>
  <si>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</si>
  <si>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</si>
  <si>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</si>
  <si>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</si>
  <si>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</si>
  <si>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</si>
  <si>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</si>
  <si>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</si>
  <si>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</si>
  <si>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</si>
  <si>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</si>
  <si>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</si>
  <si>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</si>
  <si>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</si>
  <si>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</si>
  <si>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</si>
  <si>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</si>
  <si>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</si>
  <si>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</si>
  <si>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</si>
  <si>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</si>
  <si>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</si>
  <si>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</si>
  <si>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</si>
  <si>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</si>
  <si>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</si>
  <si>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</si>
  <si>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</si>
  <si>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</si>
  <si>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</si>
  <si>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</si>
  <si>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</si>
  <si>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</si>
  <si>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</si>
  <si>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</si>
  <si>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</si>
  <si>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</si>
  <si>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</si>
  <si>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</si>
  <si>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</si>
  <si>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</si>
  <si>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</si>
  <si>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</si>
  <si>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</si>
  <si>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</si>
  <si>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</si>
  <si>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</si>
  <si>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</si>
  <si>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</si>
  <si>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</si>
  <si>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</si>
  <si>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</si>
  <si>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</si>
  <si>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</si>
  <si>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</si>
  <si>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</si>
  <si>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</si>
  <si>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</si>
  <si>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</si>
  <si>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</si>
  <si>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</si>
  <si>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</si>
  <si>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</si>
  <si>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</si>
  <si>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</si>
  <si>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</si>
  <si>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</si>
  <si>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</si>
  <si>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</si>
  <si>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</si>
  <si>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</si>
  <si>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</si>
  <si>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</si>
  <si>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</si>
  <si>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</si>
  <si>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</si>
  <si>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</si>
  <si>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</si>
  <si>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</si>
  <si>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</si>
  <si>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</si>
  <si>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</si>
  <si>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</si>
  <si>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</si>
  <si>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</si>
  <si>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</si>
  <si>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</si>
  <si>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</si>
  <si>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</si>
  <si>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</si>
  <si>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</si>
  <si>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</si>
  <si>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</si>
  <si>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</si>
  <si>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</si>
  <si>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</si>
  <si>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</si>
  <si>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</si>
  <si>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</si>
  <si>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</si>
  <si>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</si>
  <si>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</si>
  <si>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</si>
  <si>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</si>
  <si>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</si>
  <si>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</si>
  <si>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</si>
  <si>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</si>
  <si>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</si>
  <si>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</si>
  <si>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</si>
  <si>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</si>
  <si>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</si>
  <si>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</si>
  <si>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</si>
  <si>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</si>
  <si>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</si>
  <si>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</si>
  <si>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</si>
  <si>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</si>
  <si>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</si>
  <si>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</si>
  <si>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</si>
  <si>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</si>
  <si>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</si>
  <si>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</si>
  <si>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</si>
  <si>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</si>
  <si>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</si>
  <si>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</si>
  <si>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</si>
  <si>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</si>
  <si>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</si>
  <si>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</si>
  <si>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</si>
  <si>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</si>
  <si>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</si>
  <si>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</si>
  <si>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</si>
  <si>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</si>
  <si>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</si>
  <si>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</si>
  <si>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</si>
  <si>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</si>
  <si>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</si>
  <si>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</si>
  <si>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</si>
  <si>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</si>
  <si>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</si>
  <si>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</si>
  <si>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</si>
  <si>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</si>
  <si>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</si>
  <si>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</si>
  <si>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</si>
  <si>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</si>
  <si>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</si>
  <si>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</si>
  <si>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</si>
  <si>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</si>
  <si>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</si>
  <si>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</si>
  <si>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</si>
  <si>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</si>
  <si>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</si>
  <si>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</si>
  <si>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</si>
  <si>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</si>
  <si>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</si>
  <si>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</si>
  <si>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</si>
  <si>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</si>
  <si>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</si>
  <si>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</si>
  <si>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</si>
  <si>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</si>
  <si>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</si>
  <si>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</si>
  <si>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</si>
  <si>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</si>
  <si>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</si>
  <si>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</si>
  <si>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</si>
  <si>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</si>
  <si>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</si>
  <si>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</si>
  <si>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</si>
  <si>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</si>
  <si>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</si>
  <si>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</si>
  <si>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</si>
  <si>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</si>
  <si>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</si>
  <si>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</si>
  <si>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</si>
  <si>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</si>
  <si>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</si>
  <si>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</si>
  <si>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</si>
  <si>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</si>
  <si>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</si>
  <si>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</si>
  <si>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</si>
  <si>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</si>
  <si>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</si>
  <si>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</si>
  <si>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</si>
  <si>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</si>
  <si>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</si>
  <si>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</si>
  <si>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</si>
  <si>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</si>
  <si>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</si>
  <si>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</si>
  <si>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</si>
  <si>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</si>
  <si>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</si>
  <si>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</si>
  <si>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</si>
  <si>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</si>
  <si>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</si>
  <si>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</si>
  <si>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</si>
  <si>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</si>
  <si>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</si>
  <si>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</si>
  <si>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</si>
  <si>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</si>
  <si>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</si>
  <si>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</si>
  <si>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</si>
  <si>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</si>
  <si>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</si>
  <si>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</si>
  <si>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</si>
  <si>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</si>
  <si>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</si>
  <si>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</si>
  <si>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</si>
  <si>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</si>
  <si>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</si>
  <si>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</si>
  <si>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</si>
  <si>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</si>
  <si>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</si>
  <si>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</si>
  <si>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</si>
  <si>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</si>
  <si>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</si>
  <si>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</si>
  <si>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</si>
  <si>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</si>
  <si>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</si>
  <si>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</si>
  <si>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</si>
  <si>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</si>
  <si>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</si>
  <si>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</si>
  <si>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</si>
  <si>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</si>
  <si>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</si>
  <si>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</si>
  <si>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</si>
  <si>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</si>
  <si>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</si>
  <si>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</si>
  <si>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</si>
  <si>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</si>
  <si>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</si>
  <si>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</si>
  <si>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</si>
  <si>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</si>
  <si>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</si>
  <si>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</si>
  <si>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</si>
  <si>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</si>
  <si>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</si>
  <si>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</si>
  <si>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</si>
  <si>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</si>
  <si>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</si>
  <si>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</si>
  <si>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</si>
  <si>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</si>
  <si>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</si>
  <si>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</si>
  <si>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</si>
  <si>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</si>
  <si>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</si>
  <si>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</si>
  <si>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</si>
  <si>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</si>
  <si>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</si>
  <si>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</si>
  <si>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</si>
  <si>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</si>
  <si>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</si>
  <si>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</si>
  <si>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</si>
  <si>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</si>
  <si>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</si>
  <si>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</si>
  <si>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</si>
  <si>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</si>
  <si>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</si>
  <si>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</si>
  <si>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</si>
  <si>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</si>
  <si>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</si>
  <si>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</si>
  <si>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</si>
  <si>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</si>
  <si>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</si>
  <si>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</si>
  <si>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</si>
  <si>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</si>
  <si>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</si>
  <si>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</si>
  <si>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</si>
  <si>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</si>
  <si>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</si>
  <si>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</si>
  <si>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</si>
  <si>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</si>
  <si>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</si>
  <si>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</si>
  <si>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</si>
  <si>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</si>
  <si>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</si>
  <si>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</si>
  <si>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</si>
  <si>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</si>
  <si>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</si>
  <si>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</si>
  <si>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</si>
  <si>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</si>
  <si>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</si>
  <si>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</si>
  <si>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</si>
  <si>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</si>
  <si>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</si>
  <si>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</si>
  <si>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</si>
  <si>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</si>
  <si>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</si>
  <si>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</si>
  <si>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</si>
  <si>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</si>
  <si>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</si>
  <si>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</si>
  <si>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</si>
  <si>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</si>
  <si>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</si>
  <si>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</si>
  <si>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</si>
  <si>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</si>
  <si>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</si>
  <si>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</si>
  <si>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</si>
  <si>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</si>
  <si>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</si>
  <si>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</si>
  <si>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</si>
  <si>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</si>
  <si>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</si>
  <si>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</si>
  <si>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</si>
  <si>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</si>
  <si>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</si>
  <si>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</si>
  <si>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</si>
  <si>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</si>
  <si>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</si>
  <si>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</si>
  <si>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</si>
  <si>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</si>
  <si>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</si>
  <si>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</si>
  <si>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</si>
  <si>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</si>
  <si>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</si>
  <si>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</si>
  <si>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</si>
  <si>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</si>
  <si>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</si>
  <si>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</si>
  <si>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</si>
  <si>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</si>
  <si>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</si>
  <si>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</si>
  <si>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</si>
  <si>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</si>
  <si>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</si>
  <si>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</si>
  <si>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</si>
  <si>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</si>
  <si>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</si>
  <si>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</si>
  <si>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</si>
  <si>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</si>
  <si>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</si>
  <si>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</si>
  <si>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</si>
  <si>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</si>
  <si>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</si>
  <si>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</si>
  <si>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</si>
  <si>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</si>
  <si>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</si>
  <si>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</si>
  <si>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</si>
  <si>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</si>
  <si>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</si>
  <si>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</si>
  <si>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</si>
  <si>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</si>
  <si>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</si>
  <si>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</si>
  <si>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</si>
  <si>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</si>
  <si>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</si>
  <si>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</si>
  <si>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</si>
  <si>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</si>
  <si>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</si>
  <si>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</si>
  <si>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</si>
  <si>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</si>
  <si>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</si>
  <si>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</si>
  <si>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</si>
  <si>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</si>
  <si>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</si>
  <si>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</si>
  <si>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</si>
  <si>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</si>
  <si>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</si>
  <si>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</si>
  <si>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</si>
  <si>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</si>
  <si>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</si>
  <si>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</si>
  <si>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</si>
  <si>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</si>
  <si>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</si>
  <si>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</si>
  <si>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</si>
  <si>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</si>
  <si>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</si>
  <si>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</si>
  <si>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</si>
  <si>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</si>
  <si>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</si>
  <si>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</si>
  <si>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</si>
  <si>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</si>
  <si>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</si>
  <si>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</si>
  <si>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</si>
  <si>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</si>
  <si>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</si>
  <si>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</si>
  <si>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</si>
  <si>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</si>
  <si>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</si>
  <si>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</si>
  <si>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</si>
  <si>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</si>
  <si>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</si>
  <si>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</si>
  <si>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</si>
  <si>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</si>
  <si>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</si>
  <si>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</si>
  <si>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</si>
  <si>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</si>
  <si>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</si>
  <si>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</si>
  <si>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</si>
  <si>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</si>
  <si>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</si>
  <si>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</si>
  <si>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</si>
  <si>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</si>
  <si>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</si>
  <si>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</si>
  <si>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</si>
  <si>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</si>
  <si>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</si>
  <si>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</si>
  <si>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</si>
  <si>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</si>
  <si>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</si>
  <si>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</si>
  <si>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</si>
  <si>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</si>
  <si>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</si>
  <si>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</si>
  <si>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</si>
  <si>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</si>
  <si>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</si>
  <si>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</si>
  <si>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</si>
  <si>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</si>
  <si>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</si>
  <si>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</si>
  <si>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</si>
  <si>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</si>
  <si>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</si>
  <si>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</si>
  <si>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</si>
  <si>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</si>
  <si>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</si>
  <si>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</si>
  <si>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</si>
  <si>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</si>
  <si>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</si>
  <si>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</si>
  <si>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</si>
  <si>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</si>
  <si>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</si>
  <si>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</si>
  <si>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</si>
  <si>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</si>
  <si>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</si>
  <si>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</si>
  <si>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</si>
  <si>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</si>
  <si>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</si>
  <si>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</si>
  <si>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</si>
  <si>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</si>
  <si>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</si>
  <si>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</si>
  <si>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</si>
  <si>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</si>
  <si>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</si>
  <si>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</si>
  <si>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</si>
  <si>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</si>
  <si>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</si>
  <si>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</si>
  <si>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</si>
  <si>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</si>
  <si>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</si>
  <si>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</si>
  <si>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</si>
  <si>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</si>
  <si>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</si>
  <si>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</si>
  <si>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</si>
  <si>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</si>
  <si>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</si>
  <si>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</si>
  <si>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</si>
  <si>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</si>
  <si>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</si>
  <si>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</si>
  <si>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</si>
  <si>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</si>
  <si>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</si>
  <si>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</si>
  <si>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</si>
  <si>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</si>
  <si>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</si>
  <si>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</si>
  <si>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</si>
  <si>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</si>
  <si>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</si>
  <si>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</si>
  <si>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</si>
  <si>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</si>
  <si>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</si>
  <si>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</si>
  <si>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</si>
  <si>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</si>
  <si>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</si>
  <si>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</si>
  <si>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</si>
  <si>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</si>
  <si>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</si>
  <si>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</si>
  <si>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</si>
  <si>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</si>
  <si>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</si>
  <si>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</si>
  <si>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</si>
  <si>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</si>
  <si>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</si>
  <si>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</si>
  <si>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</si>
  <si>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</si>
  <si>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</si>
  <si>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</si>
  <si>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</si>
  <si>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</si>
  <si>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</si>
  <si>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</si>
  <si>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</si>
  <si>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</si>
  <si>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</si>
  <si>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</si>
  <si>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</si>
  <si>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</si>
  <si>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</si>
  <si>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</si>
  <si>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</si>
  <si>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</si>
  <si>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</si>
  <si>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</si>
  <si>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</si>
  <si>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</si>
  <si>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</si>
  <si>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</si>
  <si>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</si>
  <si>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</si>
  <si>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</si>
  <si>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</si>
  <si>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</si>
  <si>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</si>
  <si>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</si>
  <si>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</si>
  <si>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</si>
  <si>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</si>
  <si>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</si>
  <si>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</si>
  <si>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</si>
  <si>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</si>
  <si>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</si>
  <si>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</si>
  <si>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</si>
  <si>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</si>
  <si>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</si>
  <si>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</si>
  <si>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</si>
  <si>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</si>
  <si>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</si>
  <si>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</si>
  <si>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</si>
  <si>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</si>
  <si>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</si>
  <si>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</si>
  <si>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</si>
  <si>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</si>
  <si>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</si>
  <si>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</si>
  <si>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</si>
  <si>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</si>
  <si>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</si>
  <si>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</si>
  <si>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</si>
  <si>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</si>
  <si>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</si>
  <si>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</si>
  <si>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</si>
  <si>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</si>
  <si>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</si>
  <si>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</si>
  <si>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</si>
  <si>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</si>
  <si>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</si>
  <si>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</si>
  <si>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</si>
  <si>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</si>
  <si>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</si>
  <si>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</si>
  <si>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</si>
  <si>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</si>
  <si>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</si>
  <si>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</si>
  <si>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</si>
  <si>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</si>
  <si>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</si>
  <si>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</si>
  <si>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</si>
  <si>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</si>
  <si>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</si>
  <si>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</si>
  <si>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</si>
  <si>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</si>
  <si>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</si>
  <si>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</si>
  <si>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</si>
  <si>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</si>
  <si>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</si>
  <si>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</si>
  <si>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</si>
  <si>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</si>
  <si>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</si>
  <si>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</si>
  <si>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</si>
  <si>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</si>
  <si>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</si>
  <si>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</si>
  <si>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</si>
  <si>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</si>
  <si>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</si>
  <si>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</si>
  <si>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</si>
  <si>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</si>
  <si>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</si>
  <si>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</si>
  <si>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</si>
  <si>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</si>
  <si>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</si>
  <si>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</si>
  <si>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</si>
  <si>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</si>
  <si>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</si>
  <si>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</si>
  <si>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</si>
  <si>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</si>
  <si>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</si>
  <si>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</si>
  <si>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</si>
  <si>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</si>
  <si>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</si>
  <si>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</si>
  <si>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</si>
  <si>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</si>
  <si>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</si>
  <si>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</si>
  <si>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</si>
  <si>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</si>
  <si>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</si>
  <si>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</si>
  <si>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</si>
  <si>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</si>
  <si>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</si>
  <si>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</si>
  <si>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</si>
  <si>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</si>
  <si>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</si>
  <si>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</si>
  <si>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</si>
  <si>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</si>
  <si>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</si>
  <si>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</si>
  <si>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</si>
  <si>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</si>
  <si>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</si>
  <si>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</si>
  <si>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</si>
  <si>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</si>
  <si>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</si>
  <si>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</si>
  <si>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</si>
  <si>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</si>
  <si>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</si>
  <si>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</si>
  <si>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</si>
  <si>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</si>
  <si>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</si>
  <si>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</si>
  <si>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</si>
  <si>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</si>
  <si>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</si>
  <si>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</si>
  <si>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</si>
  <si>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</si>
  <si>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</si>
  <si>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</si>
  <si>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</si>
  <si>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</si>
  <si>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</si>
  <si>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</si>
  <si>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</si>
  <si>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</si>
  <si>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</si>
  <si>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</si>
  <si>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</si>
  <si>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</si>
  <si>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</si>
  <si>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</si>
  <si>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</si>
  <si>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</si>
  <si>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</si>
  <si>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</si>
  <si>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</si>
  <si>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</si>
  <si>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</si>
  <si>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</si>
  <si>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</si>
  <si>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</si>
  <si>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</si>
  <si>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</si>
  <si>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</si>
  <si>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</si>
  <si>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</si>
  <si>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</si>
  <si>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</si>
  <si>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</si>
  <si>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</si>
  <si>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</si>
  <si>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</si>
  <si>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</si>
  <si>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</si>
  <si>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</si>
  <si>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</si>
  <si>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</si>
  <si>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</si>
  <si>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</si>
  <si>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</si>
  <si>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</si>
  <si>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</si>
  <si>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</si>
  <si>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</si>
  <si>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</si>
  <si>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</si>
  <si>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</si>
  <si>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</si>
  <si>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</si>
  <si>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</si>
  <si>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</si>
  <si>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</si>
  <si>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</si>
  <si>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</si>
  <si>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</si>
  <si>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</si>
  <si>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</si>
  <si>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</si>
  <si>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</si>
  <si>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</si>
  <si>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</si>
  <si>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</si>
  <si>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</si>
  <si>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</si>
  <si>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</si>
  <si>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</si>
  <si>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</si>
  <si>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</si>
  <si>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</si>
  <si>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</si>
  <si>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</si>
  <si>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</si>
  <si>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</si>
  <si>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</si>
  <si>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</si>
  <si>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</si>
  <si>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</si>
  <si>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</si>
  <si>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</si>
  <si>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</si>
  <si>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</si>
  <si>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</si>
  <si>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</si>
  <si>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</si>
  <si>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</si>
  <si>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</si>
  <si>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</si>
  <si>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</si>
  <si>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</si>
  <si>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</si>
  <si>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</si>
  <si>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</si>
  <si>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</si>
  <si>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</si>
  <si>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</si>
  <si>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</si>
  <si>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</si>
  <si>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</si>
  <si>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</si>
  <si>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</si>
  <si>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</si>
  <si>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</si>
  <si>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</si>
  <si>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</si>
  <si>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</si>
  <si>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</si>
  <si>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</si>
  <si>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</si>
  <si>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</si>
  <si>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</si>
  <si>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</si>
  <si>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</si>
  <si>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</si>
  <si>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</si>
  <si>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</si>
  <si>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</si>
  <si>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</si>
  <si>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</si>
  <si>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</si>
  <si>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</si>
  <si>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</si>
  <si>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</si>
  <si>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</si>
  <si>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</si>
  <si>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</si>
  <si>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</si>
  <si>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</si>
  <si>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</si>
  <si>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</si>
  <si>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</si>
  <si>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</si>
  <si>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</si>
  <si>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</si>
  <si>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</si>
  <si>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</si>
  <si>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</si>
  <si>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</si>
  <si>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</si>
  <si>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</si>
  <si>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</si>
  <si>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</si>
  <si>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</si>
  <si>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</si>
  <si>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</si>
  <si>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</si>
  <si>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</si>
  <si>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</si>
  <si>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</si>
  <si>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</si>
  <si>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</si>
  <si>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</si>
  <si>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</si>
  <si>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</si>
  <si>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</si>
  <si>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</si>
  <si>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</si>
  <si>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</si>
  <si>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</si>
  <si>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</si>
  <si>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</si>
  <si>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</si>
  <si>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</si>
  <si>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</si>
  <si>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</si>
  <si>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</si>
  <si>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</si>
  <si>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</si>
  <si>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</si>
  <si>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</si>
  <si>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</si>
  <si>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</si>
  <si>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</si>
  <si>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</si>
  <si>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</si>
  <si>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</si>
  <si>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</si>
  <si>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</si>
  <si>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</si>
  <si>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</si>
  <si>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</si>
  <si>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</si>
  <si>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</si>
  <si>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</si>
  <si>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</si>
  <si>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</si>
  <si>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</si>
  <si>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</si>
  <si>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</si>
  <si>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</si>
  <si>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</si>
  <si>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</si>
  <si>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</si>
  <si>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</si>
  <si>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</si>
  <si>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</si>
  <si>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</si>
  <si>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</si>
  <si>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</si>
  <si>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</si>
  <si>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</si>
  <si>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</si>
  <si>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</si>
  <si>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</si>
  <si>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</si>
  <si>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</si>
  <si>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</si>
  <si>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</si>
  <si>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</si>
  <si>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</si>
  <si>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</si>
  <si>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</si>
  <si>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</si>
  <si>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</si>
  <si>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</si>
  <si>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</si>
  <si>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</si>
  <si>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</si>
  <si>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</si>
  <si>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</si>
  <si>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</si>
  <si>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</si>
  <si>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</si>
  <si>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</si>
  <si>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</si>
  <si>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</si>
  <si>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</si>
  <si>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</si>
  <si>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</si>
  <si>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</si>
  <si>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</si>
  <si>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</si>
  <si>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</si>
  <si>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</si>
  <si>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</si>
  <si>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</si>
  <si>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</si>
  <si>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</si>
  <si>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</si>
  <si>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</si>
  <si>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</si>
  <si>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</si>
  <si>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</si>
  <si>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</si>
  <si>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</si>
  <si>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</si>
  <si>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</si>
  <si>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</si>
  <si>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</si>
  <si>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</si>
  <si>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</si>
  <si>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</si>
  <si>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</si>
  <si>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</si>
  <si>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</si>
  <si>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</si>
  <si>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</si>
  <si>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</si>
  <si>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</si>
  <si>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</si>
  <si>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</si>
  <si>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</si>
  <si>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</si>
  <si>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</si>
  <si>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</si>
  <si>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</si>
  <si>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</si>
  <si>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</si>
  <si>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</si>
  <si>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</si>
  <si>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</si>
  <si>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</si>
  <si>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</si>
  <si>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</si>
  <si>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</si>
  <si>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</si>
  <si>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</si>
  <si>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</si>
  <si>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</si>
  <si>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</si>
  <si>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</si>
  <si>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</si>
  <si>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</si>
  <si>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</si>
  <si>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</si>
  <si>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</si>
  <si>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</si>
  <si>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</si>
  <si>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</si>
  <si>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</si>
  <si>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</si>
  <si>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</si>
  <si>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</si>
  <si>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</si>
  <si>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</si>
  <si>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</si>
  <si>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</si>
  <si>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</si>
  <si>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</si>
  <si>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</si>
  <si>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</si>
  <si>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</si>
  <si>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</si>
  <si>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</si>
  <si>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</si>
  <si>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</si>
  <si>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</si>
  <si>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</si>
  <si>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</si>
  <si>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</si>
  <si>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</si>
  <si>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</si>
  <si>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</si>
  <si>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</si>
  <si>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</si>
  <si>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</si>
  <si>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</si>
  <si>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</si>
  <si>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</si>
  <si>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</si>
  <si>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</si>
  <si>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</si>
  <si>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</si>
  <si>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</si>
  <si>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</si>
  <si>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</si>
  <si>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</si>
  <si>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</si>
  <si>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</si>
  <si>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</si>
  <si>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</si>
  <si>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</si>
  <si>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</si>
  <si>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</si>
  <si>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</si>
  <si>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</si>
  <si>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</si>
  <si>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</si>
  <si>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</si>
  <si>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</si>
  <si>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</si>
  <si>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</si>
  <si>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</si>
  <si>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</si>
  <si>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</si>
  <si>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</si>
  <si>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</si>
  <si>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</si>
  <si>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</si>
  <si>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</si>
  <si>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</si>
  <si>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</si>
  <si>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</si>
  <si>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</si>
  <si>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</si>
  <si>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</si>
  <si>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</si>
  <si>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</si>
  <si>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</si>
  <si>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</si>
  <si>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</si>
  <si>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</si>
  <si>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</si>
  <si>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</si>
  <si>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</si>
  <si>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</si>
  <si>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</si>
  <si>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</si>
  <si>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</si>
  <si>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</si>
  <si>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</si>
  <si>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</si>
  <si>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</si>
  <si>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</si>
  <si>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</si>
  <si>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</si>
  <si>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</si>
  <si>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</si>
  <si>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</si>
  <si>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</si>
  <si>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</si>
  <si>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</si>
  <si>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</si>
  <si>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</si>
  <si>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</si>
  <si>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</si>
  <si>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</si>
  <si>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</si>
  <si>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</si>
  <si>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</si>
  <si>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</si>
  <si>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</si>
  <si>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</si>
  <si>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</si>
  <si>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</si>
  <si>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</si>
  <si>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</si>
  <si>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</si>
  <si>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</si>
  <si>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</si>
  <si>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</si>
  <si>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</si>
  <si>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</si>
  <si>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</si>
  <si>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</si>
  <si>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</si>
  <si>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</si>
  <si>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</si>
  <si>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</si>
  <si>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</si>
  <si>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</si>
  <si>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</si>
  <si>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</si>
  <si>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</si>
  <si>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</si>
  <si>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</si>
  <si>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</si>
  <si>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</si>
  <si>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</si>
  <si>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</si>
  <si>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</si>
  <si>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</si>
  <si>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</si>
  <si>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</si>
  <si>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</si>
  <si>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</si>
  <si>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</si>
  <si>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</si>
  <si>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</si>
  <si>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</si>
  <si>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</si>
  <si>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</si>
  <si>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</si>
  <si>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</si>
  <si>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</si>
  <si>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</si>
  <si>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</si>
  <si>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</si>
  <si>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</si>
  <si>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</si>
  <si>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</si>
  <si>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</si>
  <si>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</si>
  <si>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</si>
  <si>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</si>
  <si>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</si>
  <si>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</si>
  <si>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</si>
  <si>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</si>
  <si>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</si>
  <si>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</si>
  <si>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</si>
  <si>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</si>
  <si>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</si>
  <si>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</si>
  <si>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</si>
  <si>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</si>
  <si>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</si>
  <si>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</si>
  <si>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</si>
  <si>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</si>
  <si>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</si>
  <si>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</si>
  <si>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</si>
  <si>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</si>
  <si>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</si>
  <si>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</si>
  <si>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</si>
  <si>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</si>
  <si>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</si>
  <si>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</si>
  <si>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</si>
  <si>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</si>
  <si>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</si>
  <si>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</si>
  <si>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</si>
  <si>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</si>
  <si>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</si>
  <si>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</si>
  <si>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</si>
  <si>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</si>
  <si>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</si>
  <si>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</si>
  <si>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</si>
  <si>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</si>
  <si>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</si>
  <si>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</si>
  <si>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</si>
  <si>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</si>
  <si>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</si>
  <si>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</si>
  <si>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</si>
  <si>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</si>
  <si>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</si>
  <si>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</si>
  <si>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</si>
  <si>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</si>
  <si>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</si>
  <si>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</si>
  <si>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</si>
  <si>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</si>
  <si>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</si>
  <si>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</si>
  <si>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</si>
  <si>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</si>
  <si>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</si>
  <si>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</si>
  <si>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</si>
  <si>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</si>
  <si>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</si>
  <si>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</si>
  <si>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</si>
  <si>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</si>
  <si>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</si>
  <si>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</si>
  <si>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</si>
  <si>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</si>
  <si>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</si>
  <si>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</si>
  <si>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</si>
  <si>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</si>
  <si>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</si>
  <si>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</si>
  <si>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</si>
  <si>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</si>
  <si>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</si>
  <si>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</si>
  <si>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</si>
  <si>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</si>
  <si>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</si>
  <si>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</si>
  <si>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</si>
  <si>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</si>
  <si>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</si>
  <si>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</si>
  <si>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</si>
  <si>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</si>
  <si>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</si>
  <si>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</si>
  <si>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</si>
  <si>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</si>
  <si>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</si>
  <si>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</si>
  <si>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</si>
  <si>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</si>
  <si>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</si>
  <si>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</si>
  <si>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</si>
  <si>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</si>
  <si>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</si>
  <si>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</si>
  <si>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</si>
  <si>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</si>
  <si>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</si>
  <si>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</si>
  <si>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</si>
  <si>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</si>
  <si>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</si>
  <si>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</si>
  <si>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</si>
  <si>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</si>
  <si>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</si>
  <si>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</si>
  <si>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</si>
  <si>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</si>
  <si>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</si>
  <si>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</si>
  <si>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</si>
  <si>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</si>
  <si>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</si>
  <si>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</si>
  <si>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</si>
  <si>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</si>
  <si>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</si>
  <si>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</si>
  <si>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</si>
  <si>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</si>
  <si>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</si>
  <si>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</si>
  <si>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</si>
  <si>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</si>
  <si>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</si>
  <si>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</si>
  <si>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</si>
  <si>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</si>
  <si>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</si>
  <si>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</si>
  <si>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</si>
  <si>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</si>
  <si>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</si>
  <si>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</si>
  <si>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</si>
  <si>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</si>
  <si>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</si>
  <si>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</si>
  <si>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</si>
  <si>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</si>
  <si>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</si>
  <si>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</si>
  <si>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</si>
  <si>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</si>
  <si>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</si>
  <si>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</si>
  <si>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</si>
  <si>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</si>
  <si>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</si>
  <si>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</si>
  <si>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</si>
  <si>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</si>
  <si>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</si>
  <si>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</si>
  <si>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</si>
  <si>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</si>
  <si>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</si>
  <si>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</si>
  <si>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</si>
  <si>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</si>
  <si>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</si>
  <si>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</si>
  <si>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</si>
  <si>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</si>
  <si>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</si>
  <si>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</si>
  <si>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</si>
  <si>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</si>
  <si>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</si>
  <si>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</si>
  <si>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</si>
  <si>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</si>
  <si>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</si>
  <si>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</si>
  <si>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</si>
  <si>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</si>
  <si>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</si>
  <si>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</si>
  <si>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</si>
  <si>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</si>
  <si>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</si>
  <si>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</si>
  <si>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</si>
  <si>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</si>
  <si>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</si>
  <si>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</si>
  <si>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</si>
  <si>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</si>
  <si>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</si>
  <si>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</si>
  <si>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</si>
  <si>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</si>
  <si>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</si>
  <si>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</si>
  <si>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</si>
  <si>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</si>
  <si>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</si>
  <si>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</si>
  <si>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</si>
  <si>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</si>
  <si>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</si>
  <si>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</si>
  <si>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</si>
  <si>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</si>
  <si>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</si>
  <si>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</si>
  <si>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</si>
  <si>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</si>
  <si>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</si>
  <si>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</si>
  <si>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</si>
  <si>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</si>
  <si>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</si>
  <si>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</si>
  <si>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</si>
  <si>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</si>
  <si>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</si>
  <si>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</si>
  <si>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</si>
  <si>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</si>
  <si>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</si>
  <si>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</si>
  <si>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</si>
  <si>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</si>
  <si>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</si>
  <si>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</si>
  <si>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</si>
  <si>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</si>
  <si>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</si>
  <si>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</si>
  <si>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</si>
  <si>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</si>
  <si>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</si>
  <si>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</si>
  <si>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</si>
  <si>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</si>
  <si>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</si>
  <si>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</si>
  <si>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</si>
  <si>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</si>
  <si>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</si>
  <si>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</si>
  <si>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</si>
  <si>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</si>
  <si>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</si>
  <si>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</si>
  <si>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</si>
  <si>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</si>
  <si>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</si>
  <si>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</si>
  <si>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</si>
  <si>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</si>
  <si>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</si>
  <si>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</si>
  <si>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</si>
  <si>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</si>
  <si>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</si>
  <si>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</si>
  <si>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</si>
  <si>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</si>
  <si>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</si>
  <si>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</si>
  <si>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</si>
  <si>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</si>
  <si>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</si>
  <si>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</si>
  <si>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</si>
  <si>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</si>
  <si>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</si>
  <si>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</si>
  <si>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</si>
  <si>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</si>
  <si>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</si>
  <si>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</si>
  <si>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</si>
  <si>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</si>
  <si>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</si>
  <si>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</si>
  <si>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</si>
  <si>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</si>
  <si>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</si>
  <si>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</si>
  <si>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</si>
  <si>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</si>
  <si>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</si>
  <si>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</si>
  <si>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</si>
  <si>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</si>
  <si>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</si>
  <si>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</si>
  <si>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</si>
  <si>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</si>
  <si>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</si>
  <si>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</si>
  <si>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</si>
  <si>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</si>
  <si>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</si>
  <si>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</si>
  <si>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</si>
  <si>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</si>
  <si>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</si>
  <si>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</si>
  <si>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</si>
  <si>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</si>
  <si>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</si>
  <si>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</si>
  <si>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</si>
  <si>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</si>
  <si>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</si>
  <si>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</si>
  <si>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</si>
  <si>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</si>
  <si>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</si>
  <si>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</si>
  <si>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</si>
  <si>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</si>
  <si>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</si>
  <si>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</si>
  <si>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</si>
  <si>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</si>
  <si>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</si>
  <si>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</si>
  <si>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</si>
  <si>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</si>
  <si>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</si>
  <si>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</si>
  <si>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</si>
  <si>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</si>
  <si>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</si>
  <si>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</si>
  <si>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</si>
  <si>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</si>
  <si>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</si>
  <si>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</si>
  <si>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</si>
  <si>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</si>
  <si>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</si>
  <si>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</si>
  <si>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</si>
  <si>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</si>
  <si>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</si>
  <si>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</si>
  <si>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</si>
  <si>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</si>
  <si>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</si>
  <si>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</si>
  <si>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</si>
  <si>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</si>
  <si>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</si>
  <si>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</si>
  <si>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</si>
  <si>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</si>
  <si>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</si>
  <si>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</si>
  <si>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</si>
  <si>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</si>
  <si>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</si>
  <si>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</si>
  <si>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</si>
  <si>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</si>
  <si>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</si>
  <si>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</si>
  <si>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</si>
  <si>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</si>
  <si>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</si>
  <si>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</si>
  <si>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</si>
  <si>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</si>
  <si>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</si>
  <si>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</si>
  <si>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</si>
  <si>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</si>
  <si>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</si>
  <si>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</si>
  <si>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</si>
  <si>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</si>
  <si>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</si>
  <si>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</si>
  <si>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</si>
  <si>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</si>
  <si>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</si>
  <si>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</si>
  <si>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</si>
  <si>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</si>
  <si>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</si>
  <si>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</si>
  <si>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</si>
  <si>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</si>
  <si>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</si>
  <si>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</si>
  <si>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</si>
  <si>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</si>
  <si>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</si>
  <si>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</si>
  <si>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</si>
  <si>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</si>
  <si>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</si>
  <si>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</si>
  <si>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</si>
  <si>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</si>
  <si>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</si>
  <si>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</si>
  <si>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</si>
  <si>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</si>
  <si>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</si>
  <si>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</si>
  <si>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</si>
  <si>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</si>
  <si>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</si>
  <si>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</si>
  <si>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</si>
  <si>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</si>
  <si>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</si>
  <si>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</si>
  <si>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</si>
  <si>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</si>
  <si>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</si>
  <si>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</si>
  <si>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</si>
  <si>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</si>
  <si>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</si>
  <si>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</si>
  <si>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</si>
  <si>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</si>
  <si>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</si>
  <si>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</si>
  <si>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</si>
  <si>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</si>
  <si>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</si>
  <si>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</si>
  <si>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</si>
  <si>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</si>
  <si>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</si>
  <si>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</si>
  <si>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</si>
  <si>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</si>
  <si>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</si>
  <si>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</si>
  <si>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</si>
  <si>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</si>
  <si>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</si>
  <si>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</si>
  <si>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</si>
  <si>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</si>
  <si>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</si>
  <si>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</si>
  <si>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</si>
  <si>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</si>
  <si>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</si>
  <si>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</si>
  <si>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</si>
  <si>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</si>
  <si>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</si>
  <si>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</si>
  <si>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</si>
  <si>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</si>
  <si>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</si>
  <si>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</si>
  <si>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</si>
  <si>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</si>
  <si>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</si>
  <si>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</si>
  <si>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</si>
  <si>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</si>
  <si>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</si>
  <si>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</si>
  <si>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</si>
  <si>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</si>
  <si>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</si>
  <si>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</si>
  <si>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</si>
  <si>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</si>
  <si>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</si>
  <si>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</si>
  <si>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</si>
  <si>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</si>
  <si>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</si>
  <si>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</si>
  <si>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</si>
  <si>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</si>
  <si>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</si>
  <si>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</si>
  <si>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</si>
  <si>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</si>
  <si>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</si>
  <si>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</si>
  <si>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</si>
  <si>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</si>
  <si>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</si>
  <si>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</si>
  <si>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</si>
  <si>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</si>
  <si>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</si>
  <si>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</si>
  <si>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</si>
  <si>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</si>
  <si>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</si>
  <si>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</si>
  <si>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</si>
  <si>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</si>
  <si>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</si>
  <si>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</si>
  <si>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</si>
  <si>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</si>
  <si>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</si>
  <si>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</si>
  <si>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</si>
  <si>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</si>
  <si>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</si>
  <si>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</si>
  <si>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</si>
  <si>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</si>
  <si>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</si>
  <si>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</si>
  <si>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</si>
  <si>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</si>
  <si>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</si>
  <si>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</si>
  <si>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</si>
  <si>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</si>
  <si>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</si>
  <si>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</si>
  <si>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</si>
  <si>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</si>
  <si>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</si>
  <si>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</si>
  <si>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</si>
  <si>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</si>
  <si>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</si>
  <si>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</si>
  <si>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</si>
  <si>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</si>
  <si>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</si>
  <si>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</si>
  <si>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</si>
  <si>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</si>
  <si>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</si>
  <si>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</si>
  <si>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</si>
  <si>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</si>
  <si>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</si>
  <si>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</si>
  <si>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</si>
  <si>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</si>
  <si>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</si>
  <si>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</si>
  <si>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</si>
  <si>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</si>
  <si>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</si>
  <si>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</si>
  <si>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</si>
  <si>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</si>
  <si>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</si>
  <si>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</si>
  <si>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</si>
  <si>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</si>
  <si>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</si>
  <si>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</si>
  <si>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</si>
  <si>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</si>
  <si>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</si>
  <si>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</si>
  <si>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</si>
  <si>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</si>
  <si>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</si>
  <si>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</si>
  <si>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</si>
  <si>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</si>
  <si>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</si>
  <si>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</si>
  <si>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</si>
  <si>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</si>
  <si>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</si>
  <si>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</si>
  <si>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</si>
  <si>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</si>
  <si>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</si>
  <si>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</si>
  <si>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</si>
  <si>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</si>
  <si>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</si>
  <si>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</si>
  <si>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</si>
  <si>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</si>
  <si>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</si>
  <si>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</si>
  <si>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</si>
  <si>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</si>
  <si>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</si>
  <si>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</si>
  <si>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</si>
  <si>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</si>
  <si>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</si>
  <si>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</si>
  <si>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</si>
  <si>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</si>
  <si>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</si>
  <si>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</si>
  <si>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</si>
  <si>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</si>
  <si>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</si>
  <si>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</si>
  <si>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</si>
  <si>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</si>
  <si>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</si>
  <si>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</si>
  <si>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</si>
  <si>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</si>
  <si>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</si>
  <si>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</si>
  <si>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</si>
  <si>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</si>
  <si>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</si>
  <si>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</si>
  <si>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</si>
  <si>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</si>
  <si>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</si>
  <si>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</si>
  <si>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</si>
  <si>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</si>
  <si>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</si>
  <si>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</si>
  <si>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</si>
  <si>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</si>
  <si>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</si>
  <si>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</si>
  <si>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</si>
  <si>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</si>
  <si>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</si>
  <si>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</si>
  <si>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</si>
  <si>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</si>
  <si>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</si>
  <si>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</si>
  <si>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</si>
  <si>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</si>
  <si>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</si>
  <si>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</si>
  <si>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</si>
  <si>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</si>
  <si>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</si>
  <si>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</si>
  <si>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</si>
  <si>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</si>
  <si>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</si>
  <si>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</si>
  <si>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</si>
  <si>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</si>
  <si>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</si>
  <si>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</si>
  <si>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</si>
  <si>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</si>
  <si>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</si>
  <si>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</si>
  <si>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</si>
  <si>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</si>
  <si>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</si>
  <si>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</si>
  <si>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</si>
  <si>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</si>
  <si>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</si>
  <si>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</si>
  <si>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</si>
  <si>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</si>
  <si>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</si>
  <si>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</si>
  <si>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</si>
  <si>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</si>
  <si>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</si>
  <si>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</si>
  <si>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</si>
  <si>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</si>
  <si>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</si>
  <si>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</si>
  <si>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</si>
  <si>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</si>
  <si>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</si>
  <si>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</si>
  <si>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</si>
  <si>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</si>
  <si>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</si>
  <si>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</si>
  <si>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</si>
  <si>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</si>
  <si>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</si>
  <si>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</si>
  <si>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</si>
  <si>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</si>
  <si>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</si>
  <si>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</si>
  <si>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</si>
  <si>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</si>
  <si>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</si>
  <si>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</si>
  <si>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</si>
  <si>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</si>
  <si>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</si>
  <si>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</si>
  <si>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</si>
  <si>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</si>
  <si>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</si>
  <si>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</si>
  <si>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</si>
  <si>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</si>
  <si>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</si>
  <si>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</si>
  <si>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</si>
  <si>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</si>
  <si>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</si>
  <si>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</si>
  <si>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</si>
  <si>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</si>
  <si>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</si>
  <si>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</si>
  <si>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</si>
  <si>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</si>
  <si>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</si>
  <si>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</si>
  <si>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</si>
  <si>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</si>
  <si>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</si>
  <si>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</si>
  <si>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</si>
  <si>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</si>
  <si>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</si>
  <si>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</si>
  <si>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</si>
  <si>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</si>
  <si>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</si>
  <si>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</si>
  <si>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</si>
  <si>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</si>
  <si>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</si>
  <si>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</si>
  <si>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</si>
  <si>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</si>
  <si>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</si>
  <si>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</si>
  <si>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</si>
  <si>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</si>
  <si>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</si>
  <si>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</si>
  <si>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</si>
  <si>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</si>
  <si>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</si>
  <si>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</si>
  <si>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</si>
  <si>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</si>
  <si>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</si>
  <si>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</si>
  <si>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</si>
  <si>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</si>
  <si>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</si>
  <si>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</si>
  <si>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</si>
  <si>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</si>
  <si>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</si>
  <si>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</si>
  <si>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</si>
  <si>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</si>
  <si>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</si>
  <si>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</si>
  <si>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</si>
  <si>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</si>
  <si>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</si>
  <si>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</si>
  <si>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</si>
  <si>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</si>
  <si>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</si>
  <si>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</si>
  <si>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</si>
  <si>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</si>
  <si>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</si>
  <si>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</si>
  <si>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</si>
  <si>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</si>
  <si>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</si>
  <si>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</si>
  <si>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</si>
  <si>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</si>
  <si>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</si>
  <si>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</si>
  <si>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</si>
  <si>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</si>
  <si>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</si>
  <si>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</si>
  <si>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</si>
  <si>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</si>
  <si>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</si>
  <si>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</si>
  <si>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</si>
  <si>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</si>
  <si>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</si>
  <si>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</si>
  <si>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</si>
  <si>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</si>
  <si>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</si>
  <si>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</si>
  <si>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</si>
  <si>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</si>
  <si>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</si>
  <si>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</si>
  <si>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</si>
  <si>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</si>
  <si>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</si>
  <si>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</si>
  <si>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</si>
  <si>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</si>
  <si>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</si>
  <si>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</si>
  <si>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</si>
  <si>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</si>
  <si>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</si>
  <si>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</si>
  <si>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</si>
  <si>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</si>
  <si>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</si>
  <si>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</si>
  <si>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</si>
  <si>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</si>
  <si>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</si>
  <si>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</si>
  <si>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</si>
  <si>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</si>
  <si>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</si>
  <si>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</si>
  <si>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</si>
  <si>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</si>
  <si>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</si>
  <si>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</si>
  <si>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</si>
  <si>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</si>
  <si>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</si>
  <si>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</si>
  <si>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</si>
  <si>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</si>
  <si>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</si>
  <si>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</si>
  <si>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</si>
  <si>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</si>
  <si>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</si>
  <si>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</si>
  <si>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</si>
  <si>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</si>
  <si>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</si>
  <si>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</si>
  <si>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</si>
  <si>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</si>
  <si>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</si>
  <si>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</si>
  <si>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</si>
  <si>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</si>
  <si>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</si>
  <si>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</si>
  <si>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</si>
  <si>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</si>
  <si>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</si>
  <si>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</si>
  <si>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</si>
  <si>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</si>
  <si>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</si>
  <si>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</si>
  <si>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</si>
  <si>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</si>
  <si>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</si>
  <si>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</si>
  <si>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</si>
  <si>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</si>
  <si>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</si>
  <si>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</si>
  <si>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</si>
  <si>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</si>
  <si>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</si>
  <si>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</si>
  <si>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</si>
  <si>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</si>
  <si>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</si>
  <si>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</si>
  <si>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</si>
  <si>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</si>
  <si>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</si>
  <si>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</si>
  <si>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</si>
  <si>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</si>
  <si>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</si>
  <si>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</si>
  <si>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</si>
  <si>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</si>
  <si>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</si>
  <si>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</si>
  <si>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</si>
  <si>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</si>
  <si>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</si>
  <si>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</si>
  <si>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</si>
  <si>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</si>
  <si>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</si>
  <si>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</si>
  <si>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</si>
  <si>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</si>
  <si>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</si>
  <si>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</si>
  <si>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</si>
  <si>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</si>
  <si>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</si>
  <si>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</si>
  <si>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</si>
  <si>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</si>
  <si>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</si>
  <si>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</si>
  <si>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</si>
  <si>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</si>
  <si>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</si>
  <si>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</si>
  <si>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</si>
  <si>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</si>
  <si>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</si>
  <si>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</si>
  <si>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</si>
  <si>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</si>
  <si>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</si>
  <si>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</si>
  <si>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</si>
  <si>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</si>
  <si>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</si>
  <si>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</si>
  <si>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</si>
  <si>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</si>
  <si>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</si>
  <si>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</si>
  <si>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</si>
  <si>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</si>
  <si>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</si>
  <si>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</si>
  <si>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</si>
  <si>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</si>
  <si>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</si>
  <si>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</si>
  <si>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</si>
  <si>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</si>
  <si>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</si>
  <si>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</si>
  <si>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</si>
  <si>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</si>
  <si>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</si>
  <si>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</si>
  <si>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</si>
  <si>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</si>
  <si>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</si>
  <si>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</si>
  <si>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</si>
  <si>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</si>
  <si>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</si>
  <si>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</si>
  <si>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</si>
  <si>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</si>
  <si>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</si>
  <si>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</si>
  <si>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</si>
  <si>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</si>
  <si>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</si>
  <si>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</si>
  <si>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</si>
  <si>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</si>
  <si>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</si>
  <si>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</si>
  <si>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</si>
  <si>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</si>
  <si>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</si>
  <si>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</si>
  <si>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</si>
  <si>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</si>
  <si>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</si>
  <si>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</si>
  <si>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</si>
  <si>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</si>
  <si>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</si>
  <si>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</si>
  <si>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</si>
  <si>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</si>
  <si>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</si>
  <si>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</si>
  <si>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</si>
  <si>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</si>
  <si>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</si>
  <si>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</si>
  <si>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</si>
  <si>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</si>
  <si>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</si>
  <si>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</si>
  <si>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</si>
  <si>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</si>
  <si>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</si>
  <si>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</si>
  <si>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</si>
  <si>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</si>
  <si>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</si>
  <si>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</si>
  <si>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</si>
  <si>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</si>
  <si>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</si>
  <si>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</si>
  <si>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</si>
  <si>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</si>
  <si>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</si>
  <si>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</si>
  <si>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</si>
  <si>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</si>
  <si>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</si>
  <si>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</si>
  <si>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</si>
  <si>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</si>
  <si>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</si>
  <si>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</si>
  <si>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</si>
  <si>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</si>
  <si>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</si>
  <si>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</si>
  <si>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</si>
  <si>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</si>
  <si>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</si>
  <si>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</si>
  <si>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</si>
  <si>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</si>
  <si>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</si>
  <si>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</si>
  <si>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</si>
  <si>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</si>
  <si>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</si>
  <si>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</si>
  <si>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</si>
  <si>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</si>
  <si>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</si>
  <si>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</si>
  <si>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</si>
  <si>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</si>
  <si>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</si>
  <si>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</si>
  <si>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</si>
  <si>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</si>
  <si>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</si>
  <si>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</si>
  <si>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</si>
  <si>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</si>
  <si>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</si>
  <si>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</si>
  <si>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</si>
  <si>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</si>
  <si>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</si>
  <si>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</si>
  <si>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</si>
  <si>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</si>
  <si>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</si>
  <si>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</si>
  <si>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</si>
  <si>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</si>
  <si>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</si>
  <si>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</si>
  <si>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</si>
  <si>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</si>
  <si>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</si>
  <si>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</si>
  <si>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</si>
  <si>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</si>
  <si>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</si>
  <si>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</si>
  <si>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</si>
  <si>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</si>
  <si>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</si>
  <si>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</si>
  <si>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</si>
  <si>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</si>
  <si>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</si>
  <si>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</si>
  <si>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</si>
  <si>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</si>
  <si>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</si>
  <si>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</si>
  <si>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</si>
  <si>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</si>
  <si>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</si>
  <si>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</si>
  <si>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</si>
  <si>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</si>
  <si>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</si>
  <si>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</si>
  <si>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</si>
  <si>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</si>
  <si>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</si>
  <si>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</si>
  <si>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</si>
  <si>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</si>
  <si>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</si>
  <si>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</si>
  <si>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</si>
  <si>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</si>
  <si>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</si>
  <si>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</si>
  <si>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</si>
  <si>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</si>
  <si>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</si>
  <si>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</si>
  <si>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</si>
  <si>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</si>
  <si>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</si>
  <si>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</si>
  <si>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</si>
  <si>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</si>
  <si>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</si>
  <si>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</si>
  <si>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</si>
  <si>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</si>
  <si>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</si>
  <si>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</si>
  <si>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</si>
  <si>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</si>
  <si>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</si>
  <si>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</si>
  <si>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</si>
  <si>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</si>
  <si>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</si>
  <si>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</si>
  <si>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</si>
  <si>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</si>
  <si>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</si>
  <si>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</si>
  <si>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</si>
  <si>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</si>
  <si>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</si>
  <si>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</si>
  <si>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</si>
  <si>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</si>
  <si>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</si>
  <si>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</si>
  <si>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</si>
  <si>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</si>
  <si>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</si>
  <si>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</si>
  <si>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</si>
  <si>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</si>
  <si>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</si>
  <si>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</si>
  <si>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</si>
  <si>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</si>
  <si>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</si>
  <si>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</si>
  <si>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</si>
  <si>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</si>
  <si>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</si>
  <si>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</si>
  <si>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</si>
  <si>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</si>
  <si>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</si>
  <si>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</si>
  <si>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</si>
  <si>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</si>
  <si>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</si>
  <si>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</si>
  <si>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</si>
  <si>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</si>
  <si>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</si>
  <si>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</si>
  <si>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</si>
  <si>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</si>
  <si>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</si>
  <si>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</si>
  <si>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</si>
  <si>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</si>
  <si>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</si>
  <si>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</si>
  <si>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</si>
  <si>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</si>
  <si>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</si>
  <si>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</si>
  <si>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</si>
  <si>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</si>
  <si>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</si>
  <si>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</si>
  <si>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</si>
  <si>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</si>
  <si>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</si>
  <si>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</si>
  <si>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</si>
  <si>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</si>
  <si>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</si>
  <si>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</si>
  <si>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</si>
  <si>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</si>
  <si>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</si>
  <si>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</si>
  <si>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</si>
  <si>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</si>
  <si>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</si>
  <si>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</si>
  <si>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</si>
  <si>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</si>
  <si>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</si>
  <si>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</si>
  <si>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</si>
  <si>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</si>
  <si>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</si>
  <si>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</si>
  <si>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</si>
  <si>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</si>
  <si>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</si>
  <si>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</si>
  <si>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</si>
  <si>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</si>
  <si>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</si>
  <si>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</si>
  <si>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</si>
  <si>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</si>
  <si>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</si>
  <si>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</si>
  <si>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</si>
  <si>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</si>
  <si>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</si>
  <si>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</si>
  <si>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</si>
  <si>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</si>
  <si>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</si>
  <si>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</si>
  <si>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</si>
  <si>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</si>
  <si>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</si>
  <si>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</si>
  <si>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</si>
  <si>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</si>
  <si>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</si>
  <si>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</si>
  <si>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</si>
  <si>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</si>
  <si>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</si>
  <si>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</si>
  <si>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</si>
  <si>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</si>
  <si>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</si>
  <si>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</si>
  <si>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</si>
  <si>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</si>
  <si>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</si>
  <si>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</si>
  <si>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</si>
  <si>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</si>
  <si>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</si>
  <si>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</si>
  <si>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</si>
  <si>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</si>
  <si>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</si>
  <si>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</si>
  <si>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</si>
  <si>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</si>
  <si>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</si>
  <si>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</si>
  <si>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</si>
  <si>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</si>
  <si>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</si>
  <si>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</si>
  <si>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</si>
  <si>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</si>
  <si>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</si>
  <si>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</si>
  <si>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</si>
  <si>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</si>
  <si>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</si>
  <si>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</si>
  <si>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</si>
  <si>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</si>
  <si>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</si>
  <si>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</si>
  <si>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</si>
  <si>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</si>
  <si>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</si>
  <si>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</si>
  <si>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</si>
  <si>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</si>
  <si>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</si>
  <si>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</si>
  <si>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</si>
  <si>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</si>
  <si>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</si>
  <si>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</si>
  <si>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</si>
  <si>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</si>
  <si>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</si>
  <si>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</si>
  <si>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</si>
  <si>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</si>
  <si>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</si>
  <si>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</si>
  <si>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</si>
  <si>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</si>
  <si>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</si>
  <si>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</si>
  <si>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</si>
  <si>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</si>
  <si>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</si>
  <si>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</si>
  <si>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</si>
  <si>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</si>
  <si>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</si>
  <si>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</si>
  <si>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</si>
  <si>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</si>
  <si>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</si>
  <si>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</si>
  <si>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</si>
  <si>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</si>
  <si>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</si>
  <si>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</si>
  <si>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</si>
  <si>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</si>
  <si>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</si>
  <si>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</si>
  <si>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</si>
  <si>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</si>
  <si>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</si>
  <si>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</si>
  <si>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</si>
  <si>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</si>
  <si>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</si>
  <si>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</si>
  <si>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</si>
  <si>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</si>
  <si>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</si>
  <si>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</si>
  <si>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</si>
  <si>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</si>
  <si>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</si>
  <si>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</si>
  <si>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</si>
  <si>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</si>
  <si>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</si>
  <si>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</si>
  <si>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</si>
  <si>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</si>
  <si>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</si>
  <si>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</si>
  <si>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</si>
  <si>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</si>
  <si>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</si>
  <si>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</si>
  <si>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</si>
  <si>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</si>
  <si>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</si>
  <si>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</si>
  <si>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</si>
  <si>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</si>
  <si>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</si>
  <si>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</si>
  <si>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</si>
  <si>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</si>
  <si>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</si>
  <si>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</si>
  <si>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</si>
  <si>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</si>
  <si>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</si>
  <si>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</si>
  <si>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</si>
  <si>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</si>
  <si>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</si>
  <si>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</si>
  <si>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</si>
  <si>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</si>
  <si>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</si>
  <si>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</si>
  <si>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</si>
  <si>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</si>
  <si>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</si>
  <si>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</si>
  <si>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</si>
  <si>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</si>
  <si>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</si>
  <si>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</si>
  <si>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</si>
  <si>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</si>
  <si>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</si>
  <si>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</si>
  <si>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</si>
  <si>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</si>
  <si>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</si>
  <si>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</si>
  <si>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</si>
  <si>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</si>
  <si>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</si>
  <si>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</si>
  <si>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</si>
  <si>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</si>
  <si>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</si>
  <si>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</si>
  <si>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</si>
  <si>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</si>
  <si>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</si>
  <si>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</si>
  <si>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</si>
  <si>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</si>
  <si>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</si>
  <si>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</si>
  <si>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</si>
  <si>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</si>
  <si>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</si>
  <si>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</si>
  <si>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</si>
  <si>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</si>
  <si>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</si>
  <si>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</si>
  <si>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</si>
  <si>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</si>
  <si>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</si>
  <si>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</si>
  <si>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</si>
  <si>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</si>
  <si>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</si>
  <si>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</si>
  <si>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</si>
  <si>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</si>
  <si>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</si>
  <si>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</si>
  <si>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</si>
  <si>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</si>
  <si>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</si>
  <si>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</si>
  <si>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</si>
  <si>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</si>
  <si>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</si>
  <si>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</si>
  <si>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</si>
  <si>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</si>
  <si>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</si>
  <si>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</si>
  <si>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</si>
  <si>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</si>
  <si>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</si>
  <si>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</si>
  <si>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</si>
  <si>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</si>
  <si>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</si>
  <si>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</si>
  <si>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</si>
  <si>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</si>
  <si>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</si>
  <si>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</si>
  <si>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</si>
  <si>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</si>
  <si>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</si>
  <si>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</si>
  <si>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</si>
  <si>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</si>
  <si>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</si>
  <si>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</si>
  <si>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</si>
  <si>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</si>
  <si>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</si>
  <si>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</si>
  <si>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</si>
  <si>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</si>
  <si>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</si>
  <si>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</si>
  <si>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</si>
  <si>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</si>
  <si>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</si>
  <si>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</si>
  <si>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</si>
  <si>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</si>
  <si>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</si>
  <si>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</si>
  <si>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</si>
  <si>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</si>
  <si>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</si>
  <si>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</si>
  <si>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</si>
  <si>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</si>
  <si>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</si>
  <si>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</si>
  <si>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</si>
  <si>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</si>
  <si>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</si>
  <si>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</si>
  <si>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</si>
  <si>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</si>
  <si>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</si>
  <si>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</si>
  <si>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</si>
  <si>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</si>
  <si>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</si>
  <si>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</si>
  <si>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</si>
  <si>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</si>
  <si>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</si>
  <si>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</si>
  <si>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</si>
  <si>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</si>
  <si>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</si>
  <si>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</si>
  <si>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</si>
  <si>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</si>
  <si>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</si>
  <si>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</si>
  <si>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</si>
  <si>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</si>
  <si>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</si>
  <si>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</si>
  <si>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</si>
  <si>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</si>
  <si>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</si>
  <si>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</si>
  <si>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</si>
  <si>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</si>
  <si>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</si>
  <si>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</si>
  <si>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</si>
  <si>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</si>
  <si>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</si>
  <si>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</si>
  <si>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</si>
  <si>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</si>
  <si>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</si>
  <si>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</si>
  <si>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</si>
  <si>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</si>
  <si>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</si>
  <si>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</si>
  <si>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</si>
  <si>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</si>
  <si>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</si>
  <si>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</si>
  <si>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</si>
  <si>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</si>
  <si>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</si>
  <si>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</si>
  <si>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</si>
  <si>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</si>
  <si>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</si>
  <si>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</si>
  <si>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</si>
  <si>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</si>
  <si>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</si>
  <si>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</si>
  <si>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</si>
  <si>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</si>
  <si>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</si>
  <si>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</si>
  <si>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</si>
  <si>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</si>
  <si>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</si>
  <si>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</si>
  <si>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</si>
  <si>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</si>
  <si>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</si>
  <si>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</si>
  <si>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</si>
  <si>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</si>
  <si>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</si>
  <si>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</si>
  <si>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</si>
  <si>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</si>
  <si>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</si>
  <si>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</si>
  <si>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</si>
  <si>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</si>
  <si>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</si>
  <si>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</si>
  <si>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</si>
  <si>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</si>
  <si>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</si>
  <si>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</si>
  <si>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</si>
  <si>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</si>
  <si>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</si>
  <si>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</si>
  <si>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</si>
  <si>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</si>
  <si>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</si>
  <si>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</si>
  <si>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</si>
  <si>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</si>
  <si>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</si>
  <si>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</si>
  <si>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</si>
  <si>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</si>
  <si>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</si>
  <si>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</si>
  <si>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</si>
  <si>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</si>
  <si>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</si>
  <si>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</si>
  <si>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</si>
  <si>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</si>
  <si>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</si>
  <si>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</si>
  <si>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</si>
  <si>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</si>
  <si>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</si>
  <si>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</si>
  <si>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</si>
  <si>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</si>
  <si>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</si>
  <si>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</si>
  <si>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</si>
  <si>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</si>
  <si>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</si>
  <si>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</si>
  <si>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</si>
  <si>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</si>
  <si>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</si>
  <si>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</si>
  <si>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</si>
  <si>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</si>
  <si>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</si>
  <si>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</si>
  <si>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</si>
  <si>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</si>
  <si>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</si>
  <si>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</si>
  <si>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</si>
  <si>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</si>
  <si>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</si>
  <si>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</si>
  <si>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</si>
  <si>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</si>
  <si>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</si>
  <si>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</si>
  <si>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</si>
  <si>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</si>
  <si>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</si>
  <si>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</si>
  <si>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</si>
  <si>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</si>
  <si>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</si>
  <si>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</si>
  <si>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</si>
  <si>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</si>
  <si>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</si>
  <si>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</si>
  <si>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</si>
  <si>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</si>
  <si>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</si>
  <si>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</si>
  <si>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</si>
  <si>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</si>
  <si>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</si>
  <si>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</si>
  <si>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</si>
  <si>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</si>
  <si>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</si>
  <si>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</si>
  <si>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</si>
  <si>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</si>
  <si>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</si>
  <si>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</si>
  <si>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</si>
  <si>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</si>
  <si>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</si>
  <si>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</si>
  <si>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</si>
  <si>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</si>
  <si>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</si>
  <si>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</si>
  <si>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</si>
  <si>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</si>
  <si>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</si>
  <si>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</si>
  <si>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</si>
  <si>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</si>
  <si>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</si>
  <si>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</si>
  <si>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</si>
  <si>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</si>
  <si>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</si>
  <si>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</si>
  <si>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</si>
  <si>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</si>
  <si>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</si>
  <si>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</si>
  <si>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</si>
  <si>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</si>
  <si>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</si>
  <si>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</si>
  <si>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</si>
  <si>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</si>
  <si>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</si>
  <si>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</si>
  <si>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</si>
  <si>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</si>
  <si>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</si>
  <si>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</si>
  <si>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</si>
  <si>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</si>
  <si>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</si>
  <si>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</si>
  <si>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</si>
  <si>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</si>
  <si>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</si>
  <si>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</si>
  <si>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</si>
  <si>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</si>
  <si>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</si>
  <si>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</si>
  <si>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</si>
  <si>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</si>
  <si>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</si>
  <si>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</si>
  <si>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</si>
  <si>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</si>
  <si>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</si>
  <si>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</si>
  <si>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</si>
  <si>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</si>
  <si>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</si>
  <si>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</si>
  <si>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</si>
  <si>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</si>
  <si>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</si>
  <si>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</si>
  <si>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</si>
  <si>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</si>
  <si>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</si>
  <si>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</si>
  <si>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</si>
  <si>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</si>
  <si>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</si>
  <si>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</si>
  <si>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</si>
  <si>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</si>
  <si>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</si>
  <si>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</si>
  <si>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</si>
  <si>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</si>
  <si>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</si>
  <si>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</si>
  <si>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</si>
  <si>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</si>
  <si>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</si>
  <si>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</si>
  <si>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</si>
  <si>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</si>
  <si>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</si>
  <si>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</si>
  <si>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</si>
  <si>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</si>
  <si>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</si>
  <si>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</si>
  <si>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</si>
  <si>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</si>
  <si>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</si>
  <si>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</si>
  <si>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</si>
  <si>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</si>
  <si>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</si>
  <si>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</si>
  <si>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</si>
  <si>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</si>
  <si>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</si>
  <si>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</si>
  <si>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</si>
  <si>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</si>
  <si>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</si>
  <si>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</si>
  <si>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</si>
  <si>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</si>
  <si>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</si>
  <si>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</si>
  <si>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</si>
  <si>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</si>
  <si>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</si>
  <si>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</si>
  <si>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</si>
  <si>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</si>
  <si>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</si>
  <si>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</si>
  <si>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</si>
  <si>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</si>
  <si>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</si>
  <si>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</si>
  <si>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</si>
  <si>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</si>
  <si>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</si>
  <si>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</si>
  <si>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</si>
  <si>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</si>
  <si>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</si>
  <si>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</si>
  <si>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</si>
  <si>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</si>
  <si>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</si>
  <si>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</si>
  <si>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</si>
  <si>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</si>
  <si>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</si>
  <si>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</si>
  <si>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</si>
  <si>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</si>
  <si>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</si>
  <si>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</si>
  <si>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</si>
  <si>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</si>
  <si>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</si>
  <si>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</si>
  <si>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</si>
  <si>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</si>
  <si>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</si>
  <si>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</si>
  <si>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</si>
  <si>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</si>
  <si>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</si>
  <si>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</si>
  <si>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</si>
  <si>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</si>
  <si>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</si>
  <si>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</si>
  <si>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</si>
  <si>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</si>
  <si>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</si>
  <si>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</si>
  <si>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</si>
  <si>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</si>
  <si>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</si>
  <si>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</si>
  <si>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</si>
  <si>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</si>
  <si>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</si>
  <si>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</si>
  <si>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</si>
  <si>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</si>
  <si>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</si>
  <si>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</si>
  <si>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</si>
  <si>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</si>
  <si>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</si>
  <si>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</si>
  <si>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</si>
  <si>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</si>
  <si>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</si>
  <si>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</si>
  <si>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</si>
  <si>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</si>
  <si>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</si>
  <si>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</si>
  <si>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</si>
  <si>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</si>
  <si>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</si>
  <si>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</si>
  <si>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</si>
  <si>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</si>
  <si>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</si>
  <si>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</si>
  <si>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</si>
  <si>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</si>
  <si>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</si>
  <si>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</si>
  <si>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</si>
  <si>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</si>
  <si>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</si>
  <si>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</si>
  <si>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</si>
  <si>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</si>
  <si>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</si>
  <si>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</si>
  <si>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</si>
  <si>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</si>
  <si>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</si>
  <si>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</si>
  <si>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</si>
  <si>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</si>
  <si>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</si>
  <si>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</si>
  <si>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</si>
  <si>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</si>
  <si>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</si>
  <si>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</si>
  <si>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</si>
  <si>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</si>
  <si>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</si>
  <si>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</si>
  <si>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</si>
  <si>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</si>
  <si>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</si>
  <si>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</si>
  <si>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</si>
  <si>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</si>
  <si>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</si>
  <si>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</si>
  <si>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</si>
  <si>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</si>
  <si>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</si>
  <si>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</si>
  <si>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</si>
  <si>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</si>
  <si>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</si>
  <si>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</si>
  <si>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</si>
  <si>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</si>
  <si>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</si>
  <si>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</si>
  <si>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</si>
  <si>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</si>
  <si>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</si>
  <si>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</si>
  <si>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</si>
  <si>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</si>
  <si>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</si>
  <si>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</si>
  <si>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</si>
  <si>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</si>
  <si>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</si>
  <si>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</si>
  <si>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</si>
  <si>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</si>
  <si>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</si>
  <si>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</si>
  <si>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</si>
  <si>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</si>
  <si>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</si>
  <si>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</si>
  <si>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</si>
  <si>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</si>
  <si>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</si>
  <si>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</si>
  <si>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</si>
  <si>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</si>
  <si>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</si>
  <si>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</si>
  <si>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</si>
  <si>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</si>
  <si>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</si>
  <si>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</si>
  <si>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</si>
  <si>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</si>
  <si>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</si>
  <si>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</si>
  <si>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</si>
  <si>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</si>
  <si>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</si>
  <si>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</si>
  <si>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</si>
  <si>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</si>
  <si>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</si>
  <si>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</si>
  <si>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</si>
  <si>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</si>
  <si>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</si>
  <si>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</si>
  <si>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</si>
  <si>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</si>
  <si>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</si>
  <si>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</si>
  <si>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</si>
  <si>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</si>
  <si>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</si>
  <si>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</si>
  <si>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</si>
  <si>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</si>
  <si>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</si>
  <si>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</si>
  <si>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</si>
  <si>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</si>
  <si>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</si>
  <si>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</si>
  <si>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</si>
  <si>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</si>
  <si>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</si>
  <si>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</si>
  <si>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</si>
  <si>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</si>
  <si>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</si>
  <si>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</si>
  <si>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</si>
  <si>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</si>
  <si>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</si>
  <si>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</si>
  <si>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</si>
  <si>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</si>
  <si>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</si>
  <si>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</si>
  <si>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</si>
  <si>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</si>
  <si>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</si>
  <si>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</si>
  <si>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</si>
  <si>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</si>
  <si>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</si>
  <si>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</si>
  <si>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</si>
  <si>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</si>
  <si>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</si>
  <si>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</si>
  <si>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</si>
  <si>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</si>
  <si>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</si>
  <si>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</si>
  <si>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</si>
  <si>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</si>
  <si>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</si>
  <si>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</si>
  <si>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</si>
  <si>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</si>
  <si>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</si>
  <si>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</si>
  <si>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</si>
  <si>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</si>
  <si>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</si>
  <si>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</si>
  <si>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</si>
  <si>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</si>
  <si>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</si>
  <si>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</si>
  <si>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</si>
  <si>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</si>
  <si>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</si>
  <si>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</si>
  <si>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</si>
  <si>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</si>
  <si>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</si>
  <si>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</si>
  <si>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</si>
  <si>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</si>
  <si>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</si>
  <si>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</si>
  <si>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</si>
  <si>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</si>
  <si>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</si>
  <si>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</si>
  <si>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</si>
  <si>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</si>
  <si>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</si>
  <si>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</si>
  <si>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</si>
  <si>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</si>
  <si>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</si>
  <si>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</si>
  <si>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</si>
  <si>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</si>
  <si>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</si>
  <si>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</si>
  <si>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</si>
  <si>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</si>
  <si>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</si>
  <si>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</si>
  <si>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</si>
  <si>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</si>
  <si>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</si>
  <si>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</si>
  <si>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</si>
  <si>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</si>
  <si>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</si>
  <si>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</si>
  <si>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</si>
  <si>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</si>
  <si>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</si>
  <si>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</si>
  <si>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</si>
  <si>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</si>
  <si>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</si>
  <si>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</si>
  <si>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</si>
  <si>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</si>
  <si>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</si>
  <si>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</si>
  <si>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</si>
  <si>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</si>
  <si>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</si>
  <si>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</si>
  <si>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</si>
  <si>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</si>
  <si>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</si>
  <si>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</si>
  <si>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</si>
  <si>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</si>
  <si>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</si>
  <si>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</si>
  <si>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</si>
  <si>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</si>
  <si>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</si>
  <si>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</si>
  <si>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</si>
  <si>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</si>
  <si>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</si>
  <si>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</si>
  <si>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</si>
  <si>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</si>
  <si>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</si>
  <si>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</si>
  <si>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</si>
  <si>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</si>
  <si>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</si>
  <si>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</si>
  <si>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</si>
  <si>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</si>
  <si>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</si>
  <si>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</si>
  <si>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</si>
  <si>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</si>
  <si>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</si>
  <si>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</si>
  <si>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</si>
  <si>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</si>
  <si>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</si>
  <si>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</si>
  <si>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</si>
  <si>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</si>
  <si>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</si>
  <si>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</si>
  <si>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</si>
  <si>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</si>
  <si>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</si>
  <si>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</si>
  <si>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</si>
  <si>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</si>
  <si>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</si>
  <si>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</si>
  <si>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</si>
  <si>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</si>
  <si>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</si>
  <si>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</si>
  <si>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</si>
  <si>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</si>
  <si>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</si>
  <si>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</si>
  <si>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</si>
  <si>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</si>
  <si>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</si>
  <si>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</si>
  <si>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</si>
  <si>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</si>
  <si>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</si>
  <si>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</si>
  <si>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</si>
  <si>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</si>
  <si>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</si>
  <si>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</si>
  <si>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</si>
  <si>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</si>
  <si>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</si>
  <si>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</si>
  <si>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</si>
  <si>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</si>
  <si>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</si>
  <si>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</si>
  <si>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</si>
  <si>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</si>
  <si>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</si>
  <si>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</si>
  <si>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</si>
  <si>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</si>
  <si>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</si>
  <si>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</si>
  <si>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</si>
  <si>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</si>
  <si>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</si>
  <si>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</si>
  <si>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</si>
  <si>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</si>
  <si>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</si>
  <si>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</si>
  <si>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</si>
  <si>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</si>
  <si>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</si>
  <si>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</si>
  <si>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</si>
  <si>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</si>
  <si>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</si>
  <si>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</si>
  <si>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</si>
  <si>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</si>
  <si>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</si>
  <si>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</si>
  <si>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</si>
  <si>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</si>
  <si>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</si>
  <si>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</si>
  <si>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</si>
  <si>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</si>
  <si>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</si>
  <si>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</si>
  <si>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</si>
  <si>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</si>
  <si>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</si>
  <si>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</si>
  <si>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</si>
  <si>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</si>
  <si>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</si>
  <si>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</si>
  <si>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</si>
  <si>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</si>
  <si>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</si>
  <si>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</si>
  <si>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</si>
  <si>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</si>
  <si>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</si>
  <si>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</si>
  <si>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</si>
  <si>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</si>
  <si>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</si>
  <si>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</si>
  <si>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</si>
  <si>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</si>
  <si>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</si>
  <si>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</si>
  <si>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</si>
  <si>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</si>
  <si>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</si>
  <si>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</si>
  <si>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</si>
  <si>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</si>
  <si>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</si>
  <si>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</si>
  <si>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</si>
  <si>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</si>
  <si>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</si>
  <si>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</si>
  <si>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</si>
  <si>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</si>
  <si>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</si>
  <si>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</si>
  <si>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</si>
  <si>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</si>
  <si>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</si>
  <si>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</si>
  <si>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</si>
  <si>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</si>
  <si>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</si>
  <si>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</si>
  <si>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</si>
  <si>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</si>
  <si>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</si>
  <si>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</si>
  <si>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</si>
  <si>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</si>
  <si>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</si>
  <si>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</si>
  <si>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</si>
  <si>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</si>
  <si>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</si>
  <si>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</si>
  <si>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</si>
  <si>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</si>
  <si>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</si>
  <si>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</si>
  <si>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</si>
  <si>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</si>
  <si>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</si>
  <si>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</si>
  <si>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</si>
  <si>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</si>
  <si>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</si>
  <si>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</si>
  <si>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</si>
  <si>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</si>
  <si>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</si>
  <si>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</si>
  <si>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</si>
  <si>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</si>
  <si>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</si>
  <si>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</si>
  <si>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</si>
  <si>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</si>
  <si>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</si>
  <si>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</si>
  <si>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</si>
  <si>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</si>
  <si>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</si>
  <si>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</si>
  <si>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</si>
  <si>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</si>
  <si>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</si>
  <si>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</si>
  <si>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</si>
  <si>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</si>
  <si>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</si>
  <si>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</si>
  <si>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</si>
  <si>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</si>
  <si>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</si>
  <si>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</si>
  <si>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</si>
  <si>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</si>
  <si>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</si>
  <si>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</si>
  <si>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</si>
  <si>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</si>
  <si>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</si>
  <si>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</si>
  <si>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</si>
  <si>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</si>
  <si>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</si>
  <si>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</si>
  <si>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</si>
  <si>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</si>
  <si>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</si>
  <si>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</si>
  <si>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</si>
  <si>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</si>
  <si>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</si>
  <si>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</si>
  <si>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</si>
  <si>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</si>
  <si>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</si>
  <si>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</si>
  <si>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</si>
  <si>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</si>
  <si>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</si>
  <si>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</si>
  <si>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</si>
  <si>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</si>
  <si>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</si>
  <si>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</si>
  <si>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</si>
  <si>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</si>
  <si>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</si>
  <si>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</si>
  <si>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</si>
  <si>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</si>
  <si>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</si>
  <si>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</si>
  <si>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</si>
  <si>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</si>
  <si>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</si>
  <si>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</si>
  <si>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</si>
  <si>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</si>
  <si>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</si>
  <si>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</si>
  <si>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</si>
  <si>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</si>
  <si>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</si>
  <si>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</si>
  <si>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</si>
  <si>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</si>
  <si>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</si>
  <si>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</si>
  <si>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</si>
  <si>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</si>
  <si>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</si>
  <si>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</si>
  <si>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</si>
  <si>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</si>
  <si>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</si>
  <si>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</si>
  <si>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</si>
  <si>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</si>
  <si>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</si>
  <si>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</si>
  <si>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</si>
  <si>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</si>
  <si>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</si>
  <si>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</si>
  <si>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</si>
  <si>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</si>
  <si>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</si>
  <si>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</si>
  <si>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</si>
  <si>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</si>
  <si>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</si>
  <si>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</si>
  <si>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</si>
  <si>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</si>
  <si>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</si>
  <si>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</si>
  <si>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</si>
  <si>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</si>
  <si>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</si>
  <si>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</si>
  <si>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</si>
  <si>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</si>
  <si>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</si>
  <si>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</si>
  <si>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</si>
  <si>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</si>
  <si>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</si>
  <si>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</si>
  <si>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</si>
  <si>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</si>
  <si>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</si>
  <si>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</si>
  <si>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</si>
  <si>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</si>
  <si>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</si>
  <si>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</si>
  <si>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</si>
  <si>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</si>
  <si>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</si>
  <si>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</si>
  <si>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</si>
  <si>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</si>
  <si>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</si>
  <si>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</si>
  <si>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</si>
  <si>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</si>
  <si>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</si>
  <si>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</si>
  <si>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</si>
  <si>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</si>
  <si>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</si>
  <si>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</si>
  <si>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</si>
  <si>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</si>
  <si>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</si>
  <si>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</si>
  <si>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</si>
  <si>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</si>
  <si>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</si>
  <si>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</si>
  <si>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</si>
  <si>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</si>
  <si>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</si>
  <si>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</si>
  <si>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</si>
  <si>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</si>
  <si>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</si>
  <si>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</si>
  <si>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</si>
  <si>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</si>
  <si>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</si>
  <si>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</si>
  <si>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</si>
  <si>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</si>
  <si>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</si>
  <si>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</si>
  <si>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</si>
  <si>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</si>
  <si>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</si>
  <si>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</si>
  <si>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</si>
  <si>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</si>
  <si>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</si>
  <si>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</si>
  <si>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</si>
  <si>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</si>
  <si>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</si>
  <si>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</si>
  <si>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</si>
  <si>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</si>
  <si>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</si>
  <si>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</si>
  <si>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</si>
  <si>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</si>
  <si>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</si>
  <si>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</si>
  <si>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</si>
  <si>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</si>
  <si>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</si>
  <si>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</si>
  <si>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</si>
  <si>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</si>
  <si>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</si>
  <si>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</si>
  <si>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</si>
  <si>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</si>
  <si>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</si>
  <si>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</si>
  <si>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</si>
  <si>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</si>
  <si>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</si>
  <si>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</si>
  <si>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</si>
  <si>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</si>
  <si>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</si>
  <si>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</si>
  <si>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</si>
  <si>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</si>
  <si>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</si>
  <si>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</si>
  <si>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</si>
  <si>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</si>
  <si>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</si>
  <si>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</si>
  <si>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</si>
  <si>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</si>
  <si>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</si>
  <si>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</si>
  <si>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</si>
  <si>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</si>
  <si>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</si>
  <si>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</si>
  <si>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</si>
  <si>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</si>
  <si>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</si>
  <si>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</si>
  <si>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</si>
  <si>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</si>
  <si>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</si>
  <si>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</si>
  <si>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</si>
  <si>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</si>
  <si>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</si>
  <si>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</si>
  <si>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</si>
  <si>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</si>
  <si>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</si>
  <si>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</si>
  <si>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</si>
  <si>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</si>
  <si>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</si>
  <si>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</si>
  <si>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</si>
  <si>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</si>
  <si>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</si>
  <si>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</si>
  <si>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</si>
  <si>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</si>
  <si>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</si>
  <si>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</si>
  <si>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</si>
  <si>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</si>
  <si>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</si>
  <si>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</si>
  <si>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</si>
  <si>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</si>
  <si>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</si>
  <si>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</si>
  <si>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</si>
  <si>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</si>
  <si>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</si>
  <si>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</si>
  <si>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</si>
  <si>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</si>
  <si>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</si>
  <si>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</si>
  <si>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</si>
  <si>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</si>
  <si>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</si>
  <si>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</si>
  <si>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</si>
  <si>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</si>
  <si>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</si>
  <si>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</si>
  <si>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</si>
  <si>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</si>
  <si>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</si>
  <si>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</si>
  <si>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</si>
  <si>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</si>
  <si>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</si>
  <si>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</si>
  <si>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</si>
  <si>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</si>
  <si>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</si>
  <si>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</si>
  <si>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</si>
  <si>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</si>
  <si>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</si>
  <si>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</si>
  <si>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</si>
  <si>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</si>
  <si>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</si>
  <si>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</si>
  <si>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</si>
  <si>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</si>
  <si>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</si>
  <si>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</si>
  <si>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</si>
  <si>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</si>
  <si>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</si>
  <si>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</si>
  <si>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</si>
  <si>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</si>
  <si>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</si>
  <si>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</si>
  <si>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</si>
  <si>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</si>
  <si>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</si>
  <si>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</si>
  <si>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</si>
  <si>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</si>
  <si>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</si>
  <si>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</si>
  <si>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</si>
  <si>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</si>
  <si>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</si>
  <si>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</si>
  <si>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</si>
  <si>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</si>
  <si>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</si>
  <si>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</si>
  <si>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</si>
  <si>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</si>
  <si>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</si>
  <si>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</si>
  <si>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</si>
  <si>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</si>
  <si>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</si>
  <si>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</si>
  <si>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</si>
  <si>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</si>
  <si>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</si>
  <si>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</si>
  <si>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</si>
  <si>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</si>
  <si>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</si>
  <si>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</si>
  <si>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</si>
  <si>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</si>
  <si>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</si>
  <si>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</si>
  <si>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</si>
  <si>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</si>
  <si>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</si>
  <si>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</si>
  <si>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</si>
  <si>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</si>
  <si>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</si>
  <si>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</si>
  <si>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</si>
  <si>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</si>
  <si>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</si>
  <si>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</si>
  <si>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</si>
  <si>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</si>
  <si>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</si>
  <si>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</si>
  <si>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</si>
  <si>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</si>
  <si>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</si>
  <si>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</si>
  <si>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</si>
  <si>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</si>
  <si>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</si>
  <si>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</si>
  <si>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</si>
  <si>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</si>
  <si>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</si>
  <si>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</si>
  <si>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</si>
  <si>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</si>
  <si>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</si>
  <si>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</si>
  <si>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</si>
  <si>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</si>
  <si>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</si>
  <si>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</si>
  <si>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</si>
  <si>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</si>
  <si>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</si>
  <si>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</si>
  <si>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</si>
  <si>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</si>
  <si>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</si>
  <si>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</si>
  <si>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</si>
  <si>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</si>
  <si>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</si>
  <si>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</si>
  <si>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</si>
  <si>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</si>
  <si>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</si>
  <si>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</si>
  <si>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</si>
  <si>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</si>
  <si>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</si>
  <si>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</si>
  <si>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</si>
  <si>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</si>
  <si>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</si>
  <si>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</si>
  <si>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</si>
  <si>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</si>
  <si>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</si>
  <si>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</si>
  <si>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</si>
  <si>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</si>
  <si>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</si>
  <si>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</si>
  <si>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</si>
  <si>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</si>
  <si>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</si>
  <si>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</si>
  <si>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</si>
  <si>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</si>
  <si>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</si>
  <si>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</si>
  <si>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</si>
  <si>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</si>
  <si>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</si>
  <si>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</si>
  <si>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</si>
  <si>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</si>
  <si>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</si>
  <si>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</si>
  <si>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</si>
  <si>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</si>
  <si>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</si>
  <si>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</si>
  <si>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</si>
  <si>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</si>
  <si>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</si>
  <si>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</si>
  <si>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</si>
  <si>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</si>
  <si>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</si>
  <si>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</si>
  <si>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</si>
  <si>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</si>
  <si>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</si>
  <si>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</si>
  <si>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</si>
  <si>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</si>
  <si>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</si>
  <si>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</si>
  <si>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</si>
  <si>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</si>
  <si>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</si>
  <si>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</si>
  <si>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</si>
  <si>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</si>
  <si>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</si>
  <si>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</si>
  <si>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</si>
  <si>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</si>
  <si>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</si>
  <si>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</si>
  <si>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</si>
  <si>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</si>
  <si>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</si>
  <si>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</si>
  <si>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</si>
  <si>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</si>
  <si>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</si>
  <si>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</si>
  <si>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</si>
  <si>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</si>
  <si>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</si>
  <si>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</si>
  <si>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</si>
  <si>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</si>
  <si>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</si>
  <si>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</si>
  <si>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</si>
  <si>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</si>
  <si>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</si>
  <si>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</si>
  <si>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</si>
  <si>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</si>
  <si>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</si>
  <si>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</si>
  <si>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</si>
  <si>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</si>
  <si>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</si>
  <si>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</si>
  <si>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</si>
  <si>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</si>
  <si>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</si>
  <si>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</si>
  <si>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</si>
  <si>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</si>
  <si>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</si>
  <si>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</si>
  <si>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</si>
  <si>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</si>
  <si>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</si>
  <si>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</si>
  <si>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</si>
  <si>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</si>
  <si>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</si>
  <si>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</si>
  <si>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</si>
  <si>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</si>
  <si>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</si>
  <si>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</si>
  <si>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</si>
  <si>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</si>
  <si>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</si>
  <si>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</si>
  <si>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</si>
  <si>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</si>
  <si>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</si>
  <si>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</si>
  <si>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</si>
  <si>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</si>
  <si>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</si>
  <si>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</si>
  <si>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</si>
  <si>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</si>
  <si>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</si>
  <si>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</si>
  <si>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</si>
  <si>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</si>
  <si>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</si>
  <si>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</si>
  <si>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</si>
  <si>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</si>
  <si>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</si>
  <si>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</si>
  <si>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</si>
  <si>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</si>
  <si>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</si>
  <si>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</si>
  <si>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</si>
  <si>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</si>
  <si>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</si>
  <si>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</si>
  <si>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</si>
  <si>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</si>
  <si>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</si>
  <si>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</si>
  <si>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</si>
  <si>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</si>
  <si>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</si>
  <si>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</si>
  <si>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</si>
  <si>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</si>
  <si>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</si>
  <si>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</si>
  <si>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</si>
  <si>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</si>
  <si>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</si>
  <si>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</si>
  <si>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</si>
  <si>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</si>
  <si>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</si>
  <si>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</si>
  <si>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</si>
  <si>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</si>
  <si>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</si>
  <si>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</si>
  <si>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</si>
  <si>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</si>
  <si>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</si>
  <si>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</si>
  <si>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</si>
  <si>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</si>
  <si>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</si>
  <si>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</si>
  <si>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</si>
  <si>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</si>
  <si>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</si>
  <si>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</si>
  <si>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</si>
  <si>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</si>
  <si>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</si>
  <si>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</si>
  <si>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</si>
  <si>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</si>
  <si>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</si>
  <si>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</si>
  <si>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</si>
  <si>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</si>
  <si>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</si>
  <si>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</si>
  <si>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</si>
  <si>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</si>
  <si>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</si>
  <si>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</si>
  <si>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</si>
  <si>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</si>
  <si>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</si>
  <si>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</si>
  <si>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</si>
  <si>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</si>
  <si>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</si>
  <si>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</si>
  <si>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</si>
  <si>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</si>
  <si>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</si>
  <si>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</si>
  <si>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</si>
  <si>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</si>
  <si>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</si>
  <si>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</si>
  <si>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</si>
  <si>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</si>
  <si>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</si>
  <si>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</si>
  <si>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</si>
  <si>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</si>
  <si>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</si>
  <si>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</si>
  <si>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</si>
  <si>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</si>
  <si>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</si>
  <si>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</si>
  <si>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</si>
  <si>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</si>
  <si>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</si>
  <si>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</si>
  <si>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</si>
  <si>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</si>
  <si>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</si>
  <si>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</si>
  <si>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</si>
  <si>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</si>
  <si>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</si>
  <si>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</si>
  <si>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</si>
  <si>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</si>
  <si>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</si>
  <si>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</si>
  <si>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</si>
  <si>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</si>
  <si>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</si>
  <si>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</si>
  <si>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</si>
  <si>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</si>
  <si>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</si>
  <si>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</si>
  <si>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</si>
  <si>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</si>
  <si>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</si>
  <si>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</si>
  <si>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</si>
  <si>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</si>
  <si>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</si>
  <si>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</si>
  <si>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</si>
  <si>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</si>
  <si>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</si>
  <si>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</si>
  <si>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</si>
  <si>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</si>
  <si>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</si>
  <si>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</si>
  <si>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</si>
  <si>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</si>
  <si>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</si>
  <si>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</si>
  <si>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</si>
  <si>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</si>
  <si>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</si>
  <si>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</si>
  <si>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</si>
  <si>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</si>
  <si>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</si>
  <si>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</si>
  <si>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</si>
  <si>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</si>
  <si>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</si>
  <si>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</si>
  <si>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</si>
  <si>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</si>
  <si>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</si>
  <si>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</si>
  <si>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</si>
  <si>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</si>
  <si>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</si>
  <si>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</si>
  <si>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</si>
  <si>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</si>
  <si>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</si>
  <si>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</si>
  <si>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</si>
  <si>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</si>
  <si>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</si>
  <si>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</si>
  <si>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</si>
  <si>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</si>
  <si>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</si>
  <si>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</si>
  <si>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</si>
  <si>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</si>
  <si>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</si>
  <si>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</si>
  <si>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</si>
  <si>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</si>
  <si>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</si>
  <si>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</si>
  <si>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</si>
  <si>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</si>
  <si>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</si>
  <si>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</si>
  <si>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</si>
  <si>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</si>
  <si>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</si>
  <si>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</si>
  <si>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</si>
  <si>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</si>
  <si>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</si>
  <si>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</si>
  <si>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</si>
  <si>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</si>
  <si>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</si>
  <si>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</si>
  <si>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</si>
  <si>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</si>
  <si>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</si>
  <si>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</si>
  <si>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</si>
  <si>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</si>
  <si>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</si>
  <si>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</si>
  <si>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</si>
  <si>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</si>
  <si>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</si>
  <si>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</si>
  <si>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</si>
  <si>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</si>
  <si>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</si>
  <si>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</si>
  <si>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</si>
  <si>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</si>
  <si>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</si>
  <si>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</si>
  <si>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</si>
  <si>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</si>
  <si>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</si>
  <si>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</si>
  <si>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</si>
  <si>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</si>
  <si>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</si>
  <si>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</si>
  <si>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</si>
  <si>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</si>
  <si>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</si>
  <si>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</si>
  <si>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</si>
  <si>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</si>
  <si>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</si>
  <si>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</si>
  <si>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</si>
  <si>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</si>
  <si>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</si>
  <si>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</si>
  <si>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</si>
  <si>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</si>
  <si>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</si>
  <si>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</si>
  <si>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</si>
  <si>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</si>
  <si>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</si>
  <si>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</si>
  <si>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</si>
  <si>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</si>
  <si>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</si>
  <si>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</si>
  <si>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</si>
  <si>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</si>
  <si>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</si>
  <si>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</si>
  <si>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</si>
  <si>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</si>
  <si>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</si>
  <si>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</si>
  <si>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</si>
  <si>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</si>
  <si>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</si>
  <si>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</si>
  <si>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</si>
  <si>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</si>
  <si>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</si>
  <si>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</si>
  <si>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</si>
  <si>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</si>
  <si>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</si>
  <si>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</si>
  <si>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</si>
  <si>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</si>
  <si>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</si>
  <si>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</si>
  <si>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</si>
  <si>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</si>
  <si>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</si>
  <si>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</si>
  <si>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</si>
  <si>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</si>
  <si>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</si>
  <si>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</si>
  <si>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</si>
  <si>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</si>
  <si>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</si>
  <si>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</si>
  <si>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</si>
  <si>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</si>
  <si>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</si>
  <si>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</si>
  <si>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</si>
  <si>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</si>
  <si>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</si>
  <si>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</si>
  <si>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</si>
  <si>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</si>
  <si>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</si>
  <si>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</si>
  <si>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</si>
  <si>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</si>
  <si>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</si>
  <si>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</si>
  <si>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</si>
  <si>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</si>
  <si>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</si>
  <si>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</si>
  <si>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</si>
  <si>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</si>
  <si>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</si>
  <si>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</si>
  <si>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</si>
  <si>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</si>
  <si>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</si>
  <si>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</si>
  <si>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</si>
  <si>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</si>
  <si>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</si>
  <si>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</si>
  <si>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</si>
  <si>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</si>
  <si>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</si>
  <si>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</si>
  <si>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</si>
  <si>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</si>
  <si>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</si>
  <si>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</si>
  <si>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</si>
  <si>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</si>
  <si>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</si>
  <si>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</si>
  <si>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</si>
  <si>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</si>
  <si>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</si>
  <si>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</si>
  <si>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</si>
  <si>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</si>
  <si>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</si>
  <si>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</si>
  <si>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</si>
  <si>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</si>
  <si>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</si>
  <si>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</si>
  <si>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</si>
  <si>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</si>
  <si>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</si>
  <si>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</si>
  <si>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</si>
  <si>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</si>
  <si>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</si>
  <si>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</si>
  <si>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</si>
  <si>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</si>
  <si>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</si>
  <si>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</si>
  <si>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</si>
  <si>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</si>
  <si>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</si>
  <si>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</si>
  <si>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</si>
  <si>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</si>
  <si>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</si>
  <si>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</si>
  <si>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</si>
  <si>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</si>
  <si>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</si>
  <si>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</si>
  <si>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</si>
  <si>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</si>
  <si>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</si>
  <si>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</si>
  <si>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</si>
  <si>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</si>
  <si>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</si>
  <si>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</si>
  <si>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</si>
  <si>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</si>
  <si>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</si>
  <si>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</si>
  <si>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</si>
  <si>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</si>
  <si>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</si>
  <si>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</si>
  <si>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</si>
  <si>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</si>
  <si>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</si>
  <si>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</si>
  <si>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</si>
  <si>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</si>
  <si>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</si>
  <si>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</si>
  <si>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</si>
  <si>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</si>
  <si>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</si>
  <si>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</si>
  <si>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</si>
  <si>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</si>
  <si>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</si>
  <si>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</si>
  <si>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</si>
  <si>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</si>
  <si>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</si>
  <si>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</si>
  <si>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</si>
  <si>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</si>
  <si>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</si>
  <si>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</si>
  <si>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</si>
  <si>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</si>
  <si>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</si>
  <si>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</si>
  <si>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</si>
  <si>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</si>
  <si>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</si>
  <si>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</si>
  <si>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</si>
  <si>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</si>
  <si>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</si>
  <si>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</si>
  <si>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</si>
  <si>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</si>
  <si>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</si>
  <si>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</si>
  <si>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</si>
  <si>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</si>
  <si>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</si>
  <si>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</si>
  <si>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</si>
  <si>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</si>
  <si>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</si>
  <si>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</si>
  <si>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</si>
  <si>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</si>
  <si>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</si>
  <si>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</si>
  <si>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</si>
  <si>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</si>
  <si>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</si>
  <si>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</si>
  <si>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</si>
  <si>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</si>
  <si>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</si>
  <si>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</si>
  <si>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</si>
  <si>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</si>
  <si>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</si>
  <si>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</si>
  <si>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</si>
  <si>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</si>
  <si>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</si>
  <si>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</si>
  <si>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</si>
  <si>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</si>
  <si>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</si>
  <si>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</si>
  <si>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</si>
  <si>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</si>
  <si>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</si>
  <si>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</si>
  <si>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</si>
  <si>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</si>
  <si>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</si>
  <si>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</si>
  <si>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</si>
  <si>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</si>
  <si>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</si>
  <si>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</si>
  <si>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</si>
  <si>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</si>
  <si>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</si>
  <si>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</si>
  <si>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</si>
  <si>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</si>
  <si>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</si>
  <si>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</si>
  <si>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</si>
  <si>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</si>
  <si>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</si>
  <si>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</si>
  <si>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</si>
  <si>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</si>
  <si>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</si>
  <si>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</si>
  <si>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</si>
  <si>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</si>
  <si>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</si>
  <si>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</si>
  <si>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</si>
  <si>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</si>
  <si>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</si>
  <si>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</si>
  <si>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</si>
  <si>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</si>
  <si>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</si>
  <si>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</si>
  <si>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</si>
  <si>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</si>
  <si>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</si>
  <si>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</si>
  <si>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</si>
  <si>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</si>
  <si>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</si>
  <si>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</si>
  <si>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</si>
  <si>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</si>
  <si>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</si>
  <si>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</si>
  <si>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</si>
  <si>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</si>
  <si>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</si>
  <si>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</si>
  <si>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</si>
  <si>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</si>
  <si>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</si>
  <si>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</si>
  <si>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</si>
  <si>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</si>
  <si>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</si>
  <si>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</si>
  <si>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</si>
  <si>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</si>
  <si>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</si>
  <si>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</si>
  <si>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</si>
  <si>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</si>
  <si>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</si>
  <si>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</si>
  <si>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</si>
  <si>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</si>
  <si>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</si>
  <si>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</si>
  <si>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</si>
  <si>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</si>
  <si>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</si>
  <si>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</si>
  <si>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</si>
  <si>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</si>
  <si>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</si>
  <si>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</si>
  <si>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</si>
  <si>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</si>
  <si>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</si>
  <si>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</si>
  <si>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</si>
  <si>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</si>
  <si>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</si>
  <si>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</si>
  <si>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</si>
  <si>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</si>
  <si>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</si>
  <si>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</si>
  <si>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</si>
  <si>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</si>
  <si>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</si>
  <si>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</si>
  <si>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</si>
  <si>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</si>
  <si>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</si>
  <si>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</si>
  <si>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</si>
  <si>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</si>
  <si>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</si>
  <si>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</si>
  <si>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</si>
  <si>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</si>
  <si>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</si>
  <si>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</si>
  <si>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</si>
  <si>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</si>
  <si>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</si>
  <si>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</si>
  <si>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</si>
  <si>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</si>
  <si>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</si>
  <si>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</si>
  <si>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</si>
  <si>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</si>
  <si>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</si>
  <si>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</si>
  <si>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</si>
  <si>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</si>
  <si>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</si>
  <si>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</si>
  <si>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</si>
  <si>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</si>
  <si>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</si>
  <si>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</si>
  <si>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</si>
  <si>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</si>
  <si>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</si>
  <si>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</si>
  <si>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</si>
  <si>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</si>
  <si>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</si>
  <si>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</si>
  <si>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</si>
  <si>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</si>
  <si>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</si>
  <si>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</si>
  <si>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</si>
  <si>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</si>
  <si>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</si>
  <si>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</si>
  <si>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</si>
  <si>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</si>
  <si>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</si>
  <si>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</si>
  <si>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</si>
  <si>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</si>
  <si>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</si>
  <si>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</si>
  <si>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</si>
  <si>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</si>
  <si>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</si>
  <si>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</si>
  <si>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</si>
  <si>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</si>
  <si>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</si>
  <si>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</si>
  <si>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</si>
  <si>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</si>
  <si>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</si>
  <si>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</si>
  <si>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</si>
  <si>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</si>
  <si>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</si>
  <si>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</si>
  <si>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</si>
  <si>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</si>
  <si>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</si>
  <si>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</si>
  <si>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</si>
  <si>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</si>
  <si>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</si>
  <si>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</si>
  <si>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</si>
  <si>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</si>
  <si>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</si>
  <si>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</si>
  <si>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</si>
  <si>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</si>
  <si>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</si>
  <si>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</si>
  <si>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</si>
  <si>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</si>
  <si>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</si>
  <si>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</si>
  <si>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</si>
  <si>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</si>
  <si>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</si>
  <si>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</si>
  <si>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</si>
  <si>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</si>
  <si>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</si>
  <si>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</si>
  <si>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</si>
  <si>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</si>
  <si>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</si>
  <si>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</si>
  <si>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</si>
  <si>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</si>
  <si>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</si>
  <si>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</si>
  <si>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</si>
  <si>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</si>
  <si>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</si>
  <si>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</si>
  <si>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</si>
  <si>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</si>
  <si>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</si>
  <si>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</si>
  <si>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</si>
  <si>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</si>
  <si>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</si>
  <si>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</si>
  <si>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</si>
  <si>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</si>
  <si>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</si>
  <si>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</si>
  <si>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</si>
  <si>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</si>
  <si>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</si>
  <si>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</si>
  <si>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</si>
  <si>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</si>
  <si>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</si>
  <si>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</si>
  <si>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</si>
  <si>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</si>
  <si>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</si>
  <si>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</si>
  <si>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</si>
  <si>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</si>
  <si>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</si>
  <si>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</si>
  <si>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</si>
  <si>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</si>
  <si>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</si>
  <si>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</si>
  <si>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</si>
  <si>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</si>
  <si>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</si>
  <si>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</si>
  <si>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</si>
  <si>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</si>
  <si>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</si>
  <si>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</si>
  <si>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</si>
  <si>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</si>
  <si>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</si>
  <si>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</si>
  <si>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</si>
  <si>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</si>
  <si>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</si>
  <si>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</si>
  <si>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</si>
  <si>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</si>
  <si>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</si>
  <si>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</si>
  <si>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</si>
  <si>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</si>
  <si>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</si>
  <si>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</si>
  <si>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</si>
  <si>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</si>
  <si>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</si>
  <si>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</si>
  <si>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</si>
  <si>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</si>
  <si>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</si>
  <si>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</si>
  <si>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</si>
  <si>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</si>
  <si>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</si>
  <si>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</si>
  <si>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</si>
  <si>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</si>
  <si>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</si>
  <si>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</si>
  <si>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</si>
  <si>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</si>
  <si>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</si>
  <si>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</si>
  <si>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</si>
  <si>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</si>
  <si>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</si>
  <si>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</si>
  <si>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</si>
  <si>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</si>
  <si>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</si>
  <si>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</si>
  <si>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</si>
  <si>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</si>
  <si>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</si>
  <si>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</si>
  <si>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</si>
  <si>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</si>
  <si>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</si>
  <si>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</si>
  <si>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</si>
  <si>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</si>
  <si>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</si>
  <si>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</si>
  <si>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</si>
  <si>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</si>
  <si>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</si>
  <si>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</si>
  <si>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</si>
  <si>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</si>
  <si>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</si>
  <si>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</si>
  <si>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</si>
  <si>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</si>
  <si>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</si>
  <si>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</si>
  <si>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</si>
  <si>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</si>
  <si>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</si>
  <si>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</si>
  <si>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</si>
  <si>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</si>
  <si>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</si>
  <si>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</si>
  <si>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</si>
  <si>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</si>
  <si>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</si>
  <si>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</si>
  <si>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</si>
  <si>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</si>
  <si>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</si>
  <si>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</si>
  <si>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</si>
  <si>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</si>
  <si>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</si>
  <si>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</si>
  <si>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</si>
  <si>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</si>
  <si>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</si>
  <si>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</si>
  <si>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</si>
  <si>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</si>
  <si>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</si>
  <si>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</si>
  <si>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</si>
  <si>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</si>
  <si>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</si>
  <si>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</si>
  <si>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</si>
  <si>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</si>
  <si>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</si>
  <si>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</si>
  <si>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</si>
  <si>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</si>
  <si>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</si>
  <si>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</si>
  <si>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</si>
  <si>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</si>
  <si>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</si>
  <si>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</si>
  <si>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</si>
  <si>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</si>
  <si>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</si>
  <si>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</si>
  <si>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</si>
  <si>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</si>
  <si>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</si>
  <si>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</si>
  <si>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</si>
  <si>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</si>
  <si>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</si>
  <si>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</si>
  <si>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</si>
  <si>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</si>
  <si>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</si>
  <si>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</si>
  <si>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</si>
  <si>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</si>
  <si>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</si>
  <si>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</si>
  <si>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</si>
  <si>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</si>
  <si>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</si>
  <si>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</si>
  <si>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</si>
  <si>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</si>
  <si>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</si>
  <si>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</si>
  <si>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</si>
  <si>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</si>
  <si>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</si>
  <si>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</si>
  <si>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</si>
  <si>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</si>
  <si>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</si>
  <si>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</si>
  <si>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</si>
  <si>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</si>
  <si>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</si>
  <si>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</si>
  <si>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</si>
  <si>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</si>
  <si>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</si>
  <si>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</si>
  <si>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</si>
  <si>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</si>
  <si>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</si>
  <si>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</si>
  <si>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</si>
  <si>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</si>
  <si>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</si>
  <si>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</si>
  <si>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</si>
  <si>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</si>
  <si>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</si>
  <si>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</si>
  <si>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</si>
  <si>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</si>
  <si>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</si>
  <si>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</si>
  <si>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</si>
  <si>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</si>
  <si>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</si>
  <si>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</si>
  <si>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</si>
  <si>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</si>
  <si>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</si>
  <si>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</si>
  <si>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</si>
  <si>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</si>
  <si>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</si>
  <si>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</si>
  <si>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</si>
  <si>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</si>
  <si>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</si>
  <si>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</si>
  <si>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</si>
  <si>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</si>
  <si>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</si>
  <si>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</si>
  <si>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</si>
  <si>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</si>
  <si>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</si>
  <si>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</si>
  <si>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</si>
  <si>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</si>
  <si>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</si>
  <si>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</si>
  <si>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</si>
  <si>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</si>
  <si>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</si>
  <si>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</si>
  <si>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</si>
  <si>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</si>
  <si>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</si>
  <si>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</si>
  <si>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</si>
  <si>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</si>
  <si>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</si>
  <si>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</si>
  <si>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</si>
  <si>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</si>
  <si>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</si>
  <si>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</si>
  <si>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</si>
  <si>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</si>
  <si>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</si>
  <si>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</si>
  <si>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</si>
  <si>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</si>
  <si>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</si>
  <si>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</si>
  <si>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</si>
  <si>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</si>
  <si>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</si>
  <si>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</si>
  <si>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</si>
  <si>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</si>
  <si>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</si>
  <si>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</si>
  <si>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</si>
  <si>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</si>
  <si>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</si>
  <si>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</si>
  <si>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</si>
  <si>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</si>
  <si>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</si>
  <si>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</si>
  <si>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</si>
  <si>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</si>
  <si>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</si>
  <si>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</si>
  <si>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</si>
  <si>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</si>
  <si>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</si>
  <si>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</si>
  <si>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</si>
  <si>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</si>
  <si>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</si>
  <si>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</si>
  <si>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</si>
  <si>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</si>
  <si>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</si>
  <si>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</si>
  <si>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</si>
  <si>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</si>
  <si>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</si>
  <si>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</si>
  <si>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</si>
  <si>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</si>
  <si>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</si>
  <si>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</si>
  <si>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</si>
  <si>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</si>
  <si>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</si>
  <si>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</si>
  <si>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</si>
  <si>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</si>
  <si>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</si>
  <si>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</si>
  <si>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</si>
  <si>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</si>
  <si>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</si>
  <si>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</si>
  <si>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</si>
  <si>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</si>
  <si>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</si>
  <si>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</si>
  <si>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</si>
  <si>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</si>
  <si>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</si>
  <si>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</si>
  <si>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</si>
  <si>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</si>
  <si>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</si>
  <si>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</si>
  <si>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</si>
  <si>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</si>
  <si>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</si>
  <si>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</si>
  <si>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</si>
  <si>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</si>
  <si>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</si>
  <si>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</si>
  <si>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</si>
  <si>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</si>
  <si>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</si>
  <si>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</si>
  <si>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</si>
  <si>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</si>
  <si>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</si>
  <si>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</si>
  <si>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</si>
  <si>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</si>
  <si>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</si>
  <si>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</si>
  <si>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</si>
  <si>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</si>
  <si>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</si>
  <si>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</si>
  <si>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</si>
  <si>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</si>
  <si>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</si>
  <si>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</si>
  <si>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</si>
  <si>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</si>
  <si>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</si>
  <si>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</si>
  <si>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</si>
  <si>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</si>
  <si>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</si>
  <si>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</si>
  <si>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</si>
  <si>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</si>
  <si>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</si>
  <si>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</si>
  <si>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</si>
  <si>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</si>
  <si>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</si>
  <si>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</si>
  <si>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</si>
  <si>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</si>
  <si>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</si>
  <si>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</si>
  <si>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</si>
  <si>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</si>
  <si>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</si>
  <si>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</si>
  <si>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</si>
  <si>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</si>
  <si>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</si>
  <si>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</si>
  <si>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</si>
  <si>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</si>
  <si>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</si>
  <si>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</si>
  <si>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</si>
  <si>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</si>
  <si>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</si>
  <si>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</si>
  <si>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</si>
  <si>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</si>
  <si>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</si>
  <si>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</si>
  <si>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</si>
  <si>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</si>
  <si>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</si>
  <si>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</si>
  <si>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</si>
  <si>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</si>
  <si>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</si>
  <si>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</si>
  <si>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</si>
  <si>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</si>
  <si>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</si>
  <si>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</si>
  <si>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</si>
  <si>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</si>
  <si>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</si>
  <si>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</si>
  <si>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</si>
  <si>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</si>
  <si>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</si>
  <si>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</si>
  <si>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</si>
  <si>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</si>
  <si>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</si>
  <si>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</si>
  <si>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</si>
  <si>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</si>
  <si>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</si>
  <si>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</si>
  <si>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</si>
  <si>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</si>
  <si>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</si>
  <si>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</si>
  <si>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</si>
  <si>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</si>
  <si>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</si>
  <si>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</si>
  <si>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</si>
  <si>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</si>
  <si>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</si>
  <si>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</si>
  <si>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</si>
  <si>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</si>
  <si>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</si>
  <si>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</si>
  <si>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</si>
  <si>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</si>
  <si>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</si>
  <si>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</si>
  <si>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</si>
  <si>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</si>
  <si>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</si>
  <si>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</si>
  <si>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</si>
  <si>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</si>
  <si>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</si>
  <si>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</si>
  <si>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</si>
  <si>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</si>
  <si>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</si>
  <si>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</si>
  <si>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</si>
  <si>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</si>
  <si>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</si>
  <si>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</si>
  <si>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</si>
  <si>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</si>
  <si>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</si>
  <si>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</si>
  <si>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</si>
  <si>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</si>
  <si>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</si>
  <si>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</si>
  <si>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</si>
  <si>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</si>
  <si>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</si>
  <si>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</si>
  <si>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</si>
  <si>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</si>
  <si>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</si>
  <si>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</si>
  <si>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</si>
  <si>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</si>
  <si>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</si>
  <si>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</si>
  <si>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</si>
  <si>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</si>
  <si>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</si>
  <si>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</si>
  <si>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</si>
  <si>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</si>
  <si>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</si>
  <si>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</si>
  <si>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</si>
  <si>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</si>
  <si>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</si>
  <si>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</si>
  <si>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</si>
  <si>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</si>
  <si>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</si>
  <si>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</si>
  <si>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</si>
  <si>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</si>
  <si>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</si>
  <si>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</si>
  <si>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</si>
  <si>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</si>
  <si>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</si>
  <si>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</si>
  <si>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</si>
  <si>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</si>
  <si>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</si>
  <si>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</si>
  <si>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</si>
  <si>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</si>
  <si>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</si>
  <si>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</si>
  <si>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</si>
  <si>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</si>
  <si>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</si>
  <si>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</si>
  <si>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</si>
  <si>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</si>
  <si>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</si>
  <si>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</si>
  <si>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</si>
  <si>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</si>
  <si>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</si>
  <si>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</si>
  <si>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</si>
  <si>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</si>
  <si>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</si>
  <si>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</si>
  <si>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</si>
  <si>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</si>
  <si>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</si>
  <si>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</si>
  <si>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</si>
  <si>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</si>
  <si>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</si>
  <si>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</si>
  <si>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</si>
  <si>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</si>
  <si>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</si>
  <si>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</si>
  <si>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</si>
  <si>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</si>
  <si>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</si>
  <si>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</si>
  <si>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</si>
  <si>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</si>
  <si>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</si>
  <si>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</si>
  <si>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</si>
  <si>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</si>
  <si>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</si>
  <si>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</si>
  <si>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</si>
  <si>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</si>
  <si>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</si>
  <si>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</si>
  <si>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</si>
  <si>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</si>
  <si>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</si>
  <si>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</si>
  <si>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</si>
  <si>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</si>
  <si>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</si>
  <si>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</si>
  <si>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</si>
  <si>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</si>
  <si>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</si>
  <si>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</si>
  <si>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</si>
  <si>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</si>
  <si>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</si>
  <si>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</si>
  <si>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</si>
  <si>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</si>
  <si>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</si>
  <si>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</si>
  <si>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</si>
  <si>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</si>
  <si>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</si>
  <si>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</si>
  <si>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</si>
  <si>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</si>
  <si>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</si>
  <si>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</si>
  <si>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</si>
  <si>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</si>
  <si>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</si>
  <si>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</si>
  <si>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</si>
  <si>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</si>
  <si>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</si>
  <si>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</si>
  <si>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</si>
  <si>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</si>
  <si>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</si>
  <si>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</si>
  <si>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</si>
  <si>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</si>
  <si>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</si>
  <si>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</si>
  <si>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</si>
  <si>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</si>
  <si>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</si>
  <si>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</si>
  <si>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</si>
  <si>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</si>
  <si>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</si>
  <si>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</si>
  <si>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</si>
  <si>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</si>
  <si>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</si>
  <si>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</si>
  <si>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</si>
  <si>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</si>
  <si>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</si>
  <si>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</si>
  <si>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</si>
  <si>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</si>
  <si>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</si>
  <si>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</si>
  <si>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</si>
  <si>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</si>
  <si>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</si>
  <si>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</si>
  <si>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</si>
  <si>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</si>
  <si>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</si>
  <si>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</si>
  <si>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</si>
  <si>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</si>
  <si>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</si>
  <si>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</si>
  <si>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</si>
  <si>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</si>
  <si>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</si>
  <si>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</si>
  <si>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</si>
  <si>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</si>
  <si>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</si>
  <si>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</si>
  <si>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</si>
  <si>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</si>
  <si>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</si>
  <si>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</si>
  <si>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</si>
  <si>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</si>
  <si>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</si>
  <si>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</si>
  <si>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</si>
  <si>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</si>
  <si>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</si>
  <si>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</si>
  <si>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</si>
  <si>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</si>
  <si>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</si>
  <si>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</si>
  <si>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</si>
  <si>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</si>
  <si>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</si>
  <si>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</si>
  <si>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</si>
  <si>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</si>
  <si>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</si>
  <si>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</si>
  <si>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</si>
  <si>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</si>
  <si>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</si>
  <si>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</si>
  <si>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</si>
  <si>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</si>
  <si>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</si>
  <si>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</si>
  <si>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</si>
  <si>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</si>
  <si>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</si>
  <si>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</si>
  <si>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</si>
  <si>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</si>
  <si>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</si>
  <si>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</si>
  <si>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</si>
  <si>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</si>
  <si>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</si>
  <si>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</si>
  <si>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</si>
  <si>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</si>
  <si>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</si>
  <si>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</si>
  <si>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</si>
  <si>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</si>
  <si>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</si>
  <si>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</si>
  <si>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</si>
  <si>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</si>
  <si>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</si>
  <si>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</si>
  <si>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</si>
  <si>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</si>
  <si>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</si>
  <si>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</si>
  <si>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</si>
  <si>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</si>
  <si>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</si>
  <si>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</si>
  <si>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</si>
  <si>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</si>
  <si>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</si>
  <si>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</si>
  <si>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</si>
  <si>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</si>
  <si>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</si>
  <si>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</si>
  <si>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</si>
  <si>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</si>
  <si>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</si>
  <si>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</si>
  <si>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</si>
  <si>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</si>
  <si>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</si>
  <si>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</si>
  <si>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</si>
  <si>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</si>
  <si>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</si>
  <si>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</si>
  <si>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</si>
  <si>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</si>
  <si>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</si>
  <si>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</si>
  <si>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</si>
  <si>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</si>
  <si>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</si>
  <si>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</si>
  <si>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</si>
  <si>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</si>
  <si>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</si>
  <si>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</si>
  <si>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</si>
  <si>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</si>
  <si>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</si>
  <si>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</si>
  <si>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</si>
  <si>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</si>
  <si>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</si>
  <si>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</si>
  <si>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</si>
  <si>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</si>
  <si>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</si>
  <si>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</si>
  <si>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</si>
  <si>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</si>
  <si>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</si>
  <si>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</si>
  <si>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</si>
  <si>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</si>
  <si>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</si>
  <si>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</si>
  <si>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</si>
  <si>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</si>
  <si>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</si>
  <si>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</si>
  <si>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</si>
  <si>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</si>
  <si>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</si>
  <si>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</si>
  <si>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</si>
  <si>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</si>
  <si>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</si>
  <si>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</si>
  <si>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</si>
  <si>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</si>
  <si>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</si>
  <si>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</si>
  <si>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</si>
  <si>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</si>
  <si>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</si>
  <si>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</si>
  <si>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</si>
  <si>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</si>
  <si>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</si>
  <si>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</si>
  <si>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</si>
  <si>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</si>
  <si>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</si>
  <si>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</si>
  <si>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</si>
  <si>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</si>
  <si>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</si>
  <si>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</si>
  <si>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</si>
  <si>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</si>
  <si>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</si>
  <si>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</si>
  <si>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</si>
  <si>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</si>
  <si>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</si>
  <si>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</si>
  <si>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</si>
  <si>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</si>
  <si>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</si>
  <si>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</si>
  <si>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</si>
  <si>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</si>
  <si>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</si>
  <si>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</si>
  <si>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</si>
  <si>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</si>
  <si>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</si>
  <si>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</si>
  <si>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</si>
  <si>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</si>
  <si>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</si>
  <si>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</si>
  <si>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</si>
  <si>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</si>
  <si>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</si>
  <si>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</si>
  <si>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</si>
  <si>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</si>
  <si>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</si>
  <si>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</si>
  <si>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</si>
  <si>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</si>
  <si>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</si>
  <si>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</si>
  <si>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</si>
  <si>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</si>
  <si>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</si>
  <si>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</si>
  <si>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</si>
  <si>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</si>
  <si>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</si>
  <si>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</si>
  <si>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</si>
  <si>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</si>
  <si>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</si>
  <si>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</si>
  <si>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</si>
  <si>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</si>
  <si>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</si>
  <si>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</si>
  <si>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</si>
  <si>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</si>
  <si>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</si>
  <si>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</si>
  <si>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</si>
  <si>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</si>
  <si>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</si>
  <si>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</si>
  <si>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</si>
  <si>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</si>
  <si>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</si>
  <si>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</si>
  <si>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</si>
  <si>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</si>
  <si>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</si>
  <si>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</si>
  <si>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</si>
  <si>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</si>
  <si>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</si>
  <si>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</si>
  <si>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</si>
  <si>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</si>
  <si>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</si>
  <si>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</si>
  <si>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</si>
  <si>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</si>
  <si>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</si>
  <si>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</si>
  <si>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</si>
  <si>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</si>
  <si>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</si>
  <si>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</si>
  <si>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</si>
  <si>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</si>
  <si>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</si>
  <si>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</si>
  <si>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</si>
  <si>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</si>
  <si>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</si>
  <si>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</si>
  <si>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</si>
  <si>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</si>
  <si>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</si>
  <si>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</si>
  <si>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</si>
  <si>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</si>
  <si>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</si>
  <si>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</si>
  <si>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</si>
  <si>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</si>
  <si>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</si>
  <si>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</si>
  <si>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</si>
  <si>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</si>
  <si>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</si>
  <si>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</si>
  <si>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</si>
  <si>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</si>
  <si>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</si>
  <si>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</si>
  <si>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</si>
  <si>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</si>
  <si>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</si>
  <si>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</si>
  <si>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</si>
  <si>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</si>
  <si>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</si>
  <si>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</si>
  <si>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</si>
  <si>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</si>
  <si>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</si>
  <si>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</si>
  <si>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</si>
  <si>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</si>
  <si>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</si>
  <si>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</si>
  <si>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</si>
  <si>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</si>
  <si>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</si>
  <si>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</si>
  <si>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</si>
  <si>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</si>
  <si>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</si>
  <si>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</si>
  <si>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</si>
  <si>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</si>
  <si>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</si>
  <si>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</si>
  <si>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</si>
  <si>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</si>
  <si>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</si>
  <si>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</si>
  <si>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</si>
  <si>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</si>
  <si>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</si>
  <si>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</si>
  <si>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</si>
  <si>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</si>
  <si>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</si>
  <si>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</si>
  <si>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</si>
  <si>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</si>
  <si>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</si>
  <si>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</si>
  <si>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</si>
  <si>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</si>
  <si>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</si>
  <si>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</si>
  <si>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</si>
  <si>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</si>
  <si>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</si>
  <si>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</si>
  <si>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</si>
  <si>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</si>
  <si>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</si>
  <si>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</si>
  <si>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</si>
  <si>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</si>
  <si>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</si>
  <si>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</si>
  <si>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</si>
  <si>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</si>
  <si>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</si>
  <si>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</si>
  <si>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</si>
  <si>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</si>
  <si>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</si>
  <si>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</si>
  <si>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</si>
  <si>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</si>
  <si>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</si>
  <si>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</si>
  <si>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</si>
  <si>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</si>
  <si>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</si>
  <si>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</si>
  <si>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</si>
  <si>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</si>
  <si>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</si>
  <si>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</si>
  <si>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</si>
  <si>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</si>
  <si>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</si>
  <si>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</si>
  <si>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</si>
  <si>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</si>
  <si>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</si>
  <si>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</si>
  <si>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</si>
  <si>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</si>
  <si>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</si>
  <si>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</si>
  <si>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</si>
  <si>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</si>
  <si>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</si>
  <si>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</si>
  <si>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</si>
  <si>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</si>
  <si>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</si>
  <si>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</si>
  <si>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</si>
  <si>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</si>
  <si>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</si>
  <si>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</si>
  <si>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</si>
  <si>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</si>
  <si>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</si>
  <si>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</si>
  <si>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</si>
  <si>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</si>
  <si>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</si>
  <si>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</si>
  <si>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</si>
  <si>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</si>
  <si>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</si>
  <si>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</si>
  <si>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</si>
  <si>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</si>
  <si>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</si>
  <si>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</si>
  <si>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</si>
  <si>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</si>
  <si>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</si>
  <si>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</si>
  <si>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</si>
  <si>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</si>
  <si>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</si>
  <si>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</si>
  <si>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</si>
  <si>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</si>
  <si>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</si>
  <si>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</si>
  <si>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</si>
  <si>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</si>
  <si>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</si>
  <si>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</si>
  <si>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</si>
  <si>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</si>
  <si>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</si>
  <si>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</si>
  <si>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</si>
  <si>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</si>
  <si>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</si>
  <si>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</si>
  <si>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</si>
  <si>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</si>
  <si>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</si>
  <si>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</si>
  <si>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</si>
  <si>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</si>
  <si>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</si>
  <si>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</si>
  <si>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</si>
  <si>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</si>
  <si>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</si>
  <si>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</si>
  <si>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</si>
  <si>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</si>
  <si>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</si>
  <si>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</si>
  <si>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</si>
  <si>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</si>
  <si>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</si>
  <si>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</si>
  <si>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</si>
  <si>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</si>
  <si>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</si>
  <si>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</si>
  <si>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</si>
  <si>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</si>
  <si>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</si>
  <si>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</si>
  <si>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</si>
  <si>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</si>
  <si>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</si>
  <si>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</si>
  <si>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</si>
  <si>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</si>
  <si>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</si>
  <si>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</si>
  <si>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</si>
  <si>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</si>
  <si>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</si>
  <si>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</si>
  <si>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</si>
  <si>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</si>
  <si>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</si>
  <si>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</si>
  <si>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</si>
  <si>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</si>
  <si>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</si>
  <si>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</si>
  <si>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</si>
  <si>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</si>
  <si>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</si>
  <si>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</si>
  <si>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</si>
  <si>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</si>
  <si>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</si>
  <si>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</si>
  <si>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</si>
  <si>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</si>
  <si>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</si>
  <si>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</si>
  <si>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</si>
  <si>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</si>
  <si>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</si>
  <si>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</si>
  <si>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</si>
  <si>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</si>
  <si>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</si>
  <si>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</si>
  <si>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</si>
  <si>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</si>
  <si>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</si>
  <si>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</si>
  <si>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</si>
  <si>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</si>
  <si>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</si>
  <si>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</si>
  <si>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</si>
  <si>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</si>
  <si>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</si>
  <si>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</si>
  <si>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</si>
  <si>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</si>
  <si>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</si>
  <si>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</si>
  <si>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</si>
  <si>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</si>
  <si>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</si>
  <si>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</si>
  <si>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</si>
  <si>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</si>
  <si>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</si>
  <si>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</si>
  <si>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</si>
  <si>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</si>
  <si>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</si>
  <si>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</si>
  <si>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</si>
  <si>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</si>
  <si>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</si>
  <si>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</si>
  <si>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</si>
  <si>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</si>
  <si>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</si>
  <si>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</si>
  <si>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</si>
  <si>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</si>
  <si>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</si>
  <si>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</si>
  <si>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</si>
  <si>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</si>
  <si>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</si>
  <si>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</si>
  <si>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</si>
  <si>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</si>
  <si>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</si>
  <si>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</si>
  <si>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</si>
  <si>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</si>
  <si>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</si>
  <si>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</si>
  <si>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</si>
  <si>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</si>
  <si>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</si>
  <si>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</si>
  <si>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</si>
  <si>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</si>
  <si>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</si>
  <si>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</si>
  <si>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</si>
  <si>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</si>
  <si>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</si>
  <si>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</si>
  <si>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</si>
  <si>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</si>
  <si>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</si>
  <si>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</si>
  <si>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</si>
  <si>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</si>
  <si>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</si>
  <si>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</si>
  <si>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</si>
  <si>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</si>
  <si>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</si>
  <si>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</si>
  <si>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</si>
  <si>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</si>
  <si>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</si>
  <si>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</si>
  <si>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</si>
  <si>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</si>
  <si>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</si>
  <si>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</si>
  <si>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</si>
  <si>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</si>
  <si>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</si>
  <si>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</si>
  <si>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</si>
  <si>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</si>
  <si>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</si>
  <si>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</si>
  <si>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</si>
  <si>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</si>
  <si>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</si>
  <si>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</si>
  <si>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</si>
  <si>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</si>
  <si>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</si>
  <si>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</si>
  <si>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</si>
  <si>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</si>
  <si>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</si>
  <si>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</si>
  <si>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</si>
  <si>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</si>
  <si>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</si>
  <si>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</si>
  <si>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</si>
  <si>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</si>
  <si>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</si>
  <si>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</si>
  <si>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</si>
  <si>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</si>
  <si>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</si>
  <si>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</si>
  <si>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</si>
  <si>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</si>
  <si>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</si>
  <si>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</si>
  <si>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</si>
  <si>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</si>
  <si>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</si>
  <si>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</si>
  <si>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</si>
  <si>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</si>
  <si>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</si>
  <si>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</si>
  <si>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</si>
  <si>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</si>
  <si>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</si>
  <si>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</si>
  <si>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</si>
  <si>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</si>
  <si>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</si>
  <si>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</si>
  <si>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</si>
  <si>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</si>
  <si>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</si>
  <si>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</si>
  <si>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</si>
  <si>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</si>
  <si>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</si>
  <si>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</si>
  <si>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</si>
  <si>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</si>
  <si>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</si>
  <si>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</si>
  <si>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</si>
  <si>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</si>
  <si>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</si>
  <si>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</si>
  <si>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</si>
  <si>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</si>
  <si>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</si>
  <si>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</si>
  <si>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</si>
  <si>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</si>
  <si>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</si>
  <si>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</si>
  <si>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</si>
  <si>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</si>
  <si>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</si>
  <si>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</si>
  <si>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</si>
  <si>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</si>
  <si>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</si>
  <si>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</si>
  <si>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</si>
  <si>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</si>
  <si>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</si>
  <si>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</si>
  <si>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</si>
  <si>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</si>
  <si>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</si>
  <si>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</si>
  <si>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</si>
  <si>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</si>
  <si>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</si>
  <si>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</si>
  <si>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</si>
  <si>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</si>
  <si>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</si>
  <si>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</si>
  <si>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</si>
  <si>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</si>
  <si>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</si>
  <si>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</si>
  <si>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</si>
  <si>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</si>
  <si>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</si>
  <si>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</si>
  <si>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</si>
  <si>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</si>
  <si>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</si>
  <si>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</si>
  <si>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</si>
  <si>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</si>
  <si>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</si>
  <si>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</si>
  <si>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</si>
  <si>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</si>
  <si>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</si>
  <si>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</si>
  <si>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</si>
  <si>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</si>
  <si>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</si>
  <si>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</si>
  <si>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</si>
  <si>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</si>
  <si>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</si>
  <si>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</si>
  <si>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</si>
  <si>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</si>
  <si>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</si>
  <si>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</si>
  <si>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</si>
  <si>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</si>
  <si>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</si>
  <si>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</si>
  <si>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</si>
  <si>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</si>
  <si>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</si>
  <si>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</si>
  <si>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</si>
  <si>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</si>
  <si>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</si>
  <si>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</si>
  <si>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</si>
  <si>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</si>
  <si>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</si>
  <si>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</si>
  <si>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</si>
  <si>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</si>
  <si>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</si>
  <si>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</si>
  <si>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</si>
  <si>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</si>
  <si>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</si>
  <si>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</si>
  <si>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</si>
  <si>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</si>
  <si>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</si>
  <si>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</si>
  <si>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</si>
  <si>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</si>
  <si>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</si>
  <si>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</si>
  <si>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</si>
  <si>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</si>
  <si>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</si>
  <si>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</si>
  <si>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</si>
  <si>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</si>
  <si>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</si>
  <si>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</si>
  <si>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</si>
  <si>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</si>
  <si>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</si>
  <si>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</si>
  <si>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</si>
  <si>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</si>
  <si>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</si>
  <si>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</si>
  <si>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</si>
  <si>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</si>
  <si>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</si>
  <si>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</si>
  <si>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</si>
  <si>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</si>
  <si>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</si>
  <si>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</si>
  <si>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</si>
  <si>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</si>
  <si>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</si>
  <si>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</si>
  <si>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</si>
  <si>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</si>
  <si>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</si>
  <si>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</si>
  <si>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</si>
  <si>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</si>
  <si>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</si>
  <si>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</si>
  <si>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</si>
  <si>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</si>
  <si>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</si>
  <si>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</si>
  <si>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</si>
  <si>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</si>
  <si>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</si>
  <si>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</si>
  <si>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</si>
  <si>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</si>
  <si>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</si>
  <si>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</si>
  <si>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</si>
  <si>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</si>
  <si>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</si>
  <si>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</si>
  <si>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</si>
  <si>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</si>
  <si>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</si>
  <si>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</si>
  <si>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</si>
  <si>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</si>
  <si>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</si>
  <si>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</si>
  <si>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</si>
  <si>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</si>
  <si>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</si>
  <si>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</si>
  <si>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</si>
  <si>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</si>
  <si>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</si>
  <si>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</si>
  <si>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</si>
  <si>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</si>
  <si>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</si>
  <si>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</si>
  <si>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</si>
  <si>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</si>
  <si>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</si>
  <si>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</si>
  <si>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</si>
  <si>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</si>
  <si>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</si>
  <si>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</si>
  <si>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</si>
  <si>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</si>
  <si>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</si>
  <si>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</si>
  <si>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</si>
  <si>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</si>
  <si>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</si>
  <si>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</si>
  <si>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</si>
  <si>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</si>
  <si>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</si>
  <si>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</si>
  <si>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</si>
  <si>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</si>
  <si>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</si>
  <si>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</si>
  <si>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</si>
  <si>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</si>
  <si>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</si>
  <si>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</si>
  <si>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</si>
  <si>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</si>
  <si>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</si>
  <si>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</si>
  <si>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</si>
  <si>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</si>
  <si>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</si>
  <si>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</si>
  <si>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</si>
  <si>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</si>
  <si>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</si>
  <si>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</si>
  <si>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</si>
  <si>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</si>
  <si>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</si>
  <si>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</si>
  <si>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</si>
  <si>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</si>
  <si>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</si>
  <si>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</si>
  <si>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</si>
  <si>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</si>
  <si>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</si>
  <si>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</si>
  <si>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</si>
  <si>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</si>
  <si>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</si>
  <si>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</si>
  <si>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</si>
  <si>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</si>
  <si>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</si>
  <si>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</si>
  <si>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</si>
  <si>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</si>
  <si>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</si>
  <si>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</si>
  <si>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</si>
  <si>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</si>
  <si>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</si>
  <si>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</si>
  <si>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</si>
  <si>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</si>
  <si>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</si>
  <si>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</si>
  <si>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</si>
  <si>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</si>
  <si>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</si>
  <si>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</si>
  <si>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</si>
  <si>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</si>
  <si>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</si>
  <si>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</si>
  <si>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</si>
  <si>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</si>
  <si>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</si>
  <si>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</si>
  <si>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</si>
  <si>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</si>
  <si>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</si>
  <si>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</si>
  <si>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</si>
  <si>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</si>
  <si>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</si>
  <si>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</si>
  <si>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</si>
  <si>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</si>
  <si>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</si>
  <si>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</si>
  <si>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</si>
  <si>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</si>
  <si>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</si>
  <si>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</si>
  <si>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</si>
  <si>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</si>
  <si>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</si>
  <si>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</si>
  <si>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</si>
  <si>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</si>
  <si>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</si>
  <si>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</si>
  <si>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</si>
  <si>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</si>
  <si>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</si>
  <si>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</si>
  <si>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</si>
  <si>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</si>
  <si>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</si>
  <si>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</si>
  <si>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</si>
  <si>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</si>
  <si>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</si>
  <si>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</si>
  <si>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</si>
  <si>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</si>
  <si>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</si>
  <si>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</si>
  <si>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</si>
  <si>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</si>
  <si>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</si>
  <si>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</si>
  <si>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</si>
  <si>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</si>
  <si>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</si>
  <si>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</si>
  <si>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</si>
  <si>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</si>
  <si>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</si>
  <si>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</si>
  <si>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</si>
  <si>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</si>
  <si>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</si>
  <si>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</si>
  <si>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</si>
  <si>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</si>
  <si>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</si>
  <si>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</si>
  <si>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</si>
  <si>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</si>
  <si>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</si>
  <si>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</si>
  <si>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</si>
  <si>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</si>
  <si>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</si>
  <si>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</si>
  <si>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</si>
  <si>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</si>
  <si>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</si>
  <si>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</si>
  <si>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</si>
  <si>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</si>
  <si>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</si>
  <si>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</si>
  <si>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</si>
  <si>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</si>
  <si>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</si>
  <si>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</si>
  <si>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</si>
  <si>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</si>
  <si>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</si>
  <si>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</si>
  <si>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</si>
  <si>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</si>
  <si>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</si>
  <si>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</si>
  <si>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</si>
  <si>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</si>
  <si>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</si>
  <si>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</si>
  <si>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</si>
  <si>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</si>
  <si>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</si>
  <si>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</si>
  <si>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</si>
  <si>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</si>
  <si>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</si>
  <si>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</si>
  <si>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</si>
  <si>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</si>
  <si>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</si>
  <si>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</si>
  <si>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</si>
  <si>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</si>
  <si>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</si>
  <si>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</si>
  <si>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</si>
  <si>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</si>
  <si>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</si>
  <si>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</si>
  <si>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</si>
  <si>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</si>
  <si>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</si>
  <si>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</si>
  <si>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</si>
  <si>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</si>
  <si>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</si>
  <si>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</si>
  <si>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</si>
  <si>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</si>
  <si>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</si>
  <si>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</si>
  <si>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</si>
  <si>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</si>
  <si>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</si>
  <si>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</si>
  <si>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</si>
  <si>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</si>
  <si>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</si>
  <si>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</si>
  <si>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</si>
  <si>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</si>
  <si>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</si>
  <si>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</si>
  <si>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</si>
  <si>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</si>
  <si>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</si>
  <si>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</si>
  <si>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</si>
  <si>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</si>
  <si>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</si>
  <si>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</si>
  <si>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</si>
  <si>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</si>
  <si>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</si>
  <si>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</si>
  <si>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</si>
  <si>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</si>
  <si>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</si>
  <si>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</si>
  <si>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</si>
  <si>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</si>
  <si>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</si>
  <si>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</si>
  <si>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</si>
  <si>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</si>
  <si>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</si>
  <si>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</si>
  <si>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</si>
  <si>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</si>
  <si>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</si>
  <si>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</si>
  <si>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</si>
  <si>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</si>
  <si>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</si>
  <si>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</si>
  <si>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</si>
  <si>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</si>
  <si>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</si>
  <si>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</si>
  <si>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</si>
  <si>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</si>
  <si>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</si>
  <si>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</si>
  <si>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</si>
  <si>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</si>
  <si>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</si>
  <si>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</si>
  <si>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</si>
  <si>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</si>
  <si>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</si>
  <si>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</si>
  <si>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</si>
  <si>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</si>
  <si>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</si>
  <si>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</si>
  <si>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</si>
  <si>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</si>
  <si>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</si>
  <si>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</si>
  <si>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</si>
  <si>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</si>
  <si>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</si>
  <si>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</si>
  <si>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</si>
  <si>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</si>
  <si>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</si>
  <si>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</si>
  <si>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</si>
  <si>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</si>
  <si>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</si>
  <si>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</si>
  <si>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</si>
  <si>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</si>
  <si>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</si>
  <si>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</si>
  <si>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</si>
  <si>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</si>
  <si>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</si>
  <si>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</si>
  <si>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</si>
  <si>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</si>
  <si>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</si>
  <si>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</si>
  <si>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</si>
  <si>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</si>
  <si>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</si>
  <si>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</si>
  <si>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</si>
  <si>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</si>
  <si>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</si>
  <si>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</si>
  <si>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</si>
  <si>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</si>
  <si>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</si>
  <si>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</si>
  <si>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</si>
  <si>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</si>
  <si>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</si>
  <si>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</si>
  <si>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</si>
  <si>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</si>
  <si>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</si>
  <si>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</si>
  <si>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</si>
  <si>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</si>
  <si>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</si>
  <si>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</si>
  <si>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</si>
  <si>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</si>
  <si>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</si>
  <si>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</si>
  <si>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</si>
  <si>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</si>
  <si>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</si>
  <si>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</si>
  <si>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</si>
  <si>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</si>
  <si>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</si>
  <si>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</si>
  <si>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</si>
  <si>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</si>
  <si>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</si>
  <si>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</si>
  <si>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</si>
  <si>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</si>
  <si>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</si>
  <si>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</si>
  <si>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</si>
  <si>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</si>
  <si>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</si>
  <si>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</si>
  <si>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</si>
  <si>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</si>
  <si>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</si>
  <si>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</si>
  <si>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</si>
  <si>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</si>
  <si>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</si>
  <si>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</si>
  <si>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</si>
  <si>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</si>
  <si>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</si>
  <si>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</si>
  <si>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</si>
  <si>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</si>
  <si>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</si>
  <si>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</si>
  <si>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</si>
  <si>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</si>
  <si>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</si>
  <si>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</si>
  <si>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</si>
  <si>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</si>
  <si>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</si>
  <si>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</si>
  <si>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</si>
  <si>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</si>
  <si>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</si>
  <si>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</si>
  <si>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</si>
  <si>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</si>
  <si>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</si>
  <si>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</si>
  <si>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</si>
  <si>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</si>
  <si>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</si>
  <si>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</si>
  <si>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</si>
  <si>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</si>
  <si>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</si>
  <si>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</si>
  <si>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</si>
  <si>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</si>
  <si>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</si>
  <si>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</si>
  <si>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</si>
  <si>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</si>
  <si>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</si>
  <si>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</si>
  <si>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</si>
  <si>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</si>
  <si>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</si>
  <si>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</si>
  <si>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</si>
  <si>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</si>
  <si>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</si>
  <si>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</si>
  <si>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</si>
  <si>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</si>
  <si>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</si>
  <si>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</si>
  <si>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</si>
  <si>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</si>
  <si>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</si>
  <si>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</si>
  <si>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</si>
  <si>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</si>
  <si>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</si>
  <si>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</si>
  <si>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</si>
  <si>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</si>
  <si>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</si>
  <si>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</si>
  <si>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</si>
  <si>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</si>
  <si>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</si>
  <si>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</si>
  <si>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</si>
  <si>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</si>
  <si>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</si>
  <si>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</si>
  <si>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</si>
  <si>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</si>
  <si>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</si>
  <si>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</si>
  <si>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</si>
  <si>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</si>
  <si>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</si>
  <si>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</si>
  <si>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</si>
  <si>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</si>
  <si>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</si>
  <si>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</si>
  <si>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</si>
  <si>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</si>
  <si>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</si>
  <si>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</si>
  <si>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</si>
  <si>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</si>
  <si>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</si>
  <si>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</si>
  <si>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</si>
  <si>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</si>
  <si>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</si>
  <si>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</si>
  <si>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</si>
  <si>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</si>
  <si>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</si>
  <si>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</si>
  <si>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</si>
  <si>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</si>
  <si>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</si>
  <si>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</si>
  <si>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</si>
  <si>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</si>
  <si>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</si>
  <si>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</si>
  <si>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</si>
  <si>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</si>
  <si>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</si>
  <si>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</si>
  <si>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</si>
  <si>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</si>
  <si>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</si>
  <si>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</si>
  <si>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</si>
  <si>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</si>
  <si>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</si>
  <si>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</si>
  <si>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</si>
  <si>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</si>
  <si>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</si>
  <si>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</si>
  <si>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</si>
  <si>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</si>
  <si>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</si>
  <si>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</si>
  <si>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</si>
  <si>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</si>
  <si>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</si>
  <si>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</si>
  <si>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</si>
  <si>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</si>
  <si>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</si>
  <si>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</si>
  <si>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</si>
  <si>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</si>
  <si>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</si>
  <si>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</si>
  <si>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</si>
  <si>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</si>
  <si>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</si>
  <si>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</si>
  <si>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</si>
  <si>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</si>
  <si>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</si>
  <si>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</si>
  <si>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</si>
  <si>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</si>
  <si>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</si>
  <si>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</si>
  <si>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</si>
  <si>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</si>
  <si>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</si>
  <si>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</si>
  <si>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</si>
  <si>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</si>
  <si>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</si>
  <si>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</si>
  <si>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</si>
  <si>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</si>
  <si>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</si>
  <si>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</si>
  <si>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</si>
  <si>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</si>
  <si>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</si>
  <si>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</si>
  <si>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</si>
  <si>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</si>
  <si>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</si>
  <si>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</si>
  <si>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</si>
  <si>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</si>
  <si>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</si>
  <si>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</si>
  <si>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</si>
  <si>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</si>
  <si>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</si>
  <si>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</si>
  <si>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</si>
  <si>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</si>
  <si>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</si>
  <si>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</si>
  <si>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</si>
  <si>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</si>
  <si>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</si>
  <si>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</si>
  <si>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</si>
  <si>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</si>
  <si>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</si>
  <si>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</si>
  <si>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</si>
  <si>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</si>
  <si>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</si>
  <si>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</si>
  <si>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</si>
  <si>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</si>
  <si>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</si>
  <si>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</si>
  <si>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</si>
  <si>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</si>
  <si>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</si>
  <si>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</si>
  <si>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</si>
  <si>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</si>
  <si>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FEDERAL  ESSER GRANT REVENUE</t>
  </si>
  <si>
    <t>PRINCIPAL FOR LONG-TERM DEBT</t>
  </si>
  <si>
    <t>SALARIES FOR BUS AND LUNCH/PLAYGROUND AIDES</t>
  </si>
  <si>
    <t>FICA AND MEDICARE EXPENSES FOR EMPLOYEES</t>
  </si>
  <si>
    <t>X</t>
  </si>
  <si>
    <t>SEPTEMBER</t>
  </si>
  <si>
    <t>23</t>
  </si>
  <si>
    <t>JAMES MILLER III</t>
  </si>
  <si>
    <t>JENNIFER MEYER</t>
  </si>
  <si>
    <t>LAUREN PEREZ</t>
  </si>
  <si>
    <t>KRISTINE BLONIARCZYK</t>
  </si>
  <si>
    <t>SARAH IVES</t>
  </si>
  <si>
    <t>BRANDY BARTH</t>
  </si>
  <si>
    <t>Strategic Goals for Gavin School District #37
Curriculum, Instruction, and Assessment
Ensure maximum development, growth, and achievement for every learner
Support the capacity to meet the developmental needs of our learners through high quality professional development          
Finance and Facilities           
Maximize funding to support district initiatives</t>
  </si>
  <si>
    <t>Yesenia Flory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</si>
</sst>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4">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168" fontId="42" fillId="0" borderId="0" xfId="0" applyNumberFormat="1" applyFont="1" applyAlignment="1">
      <alignment horizontal="left"/>
    </xf>
    <xf numFmtId="0" fontId="42" fillId="0" borderId="0" xfId="0" applyFont="1" applyAlignment="1">
      <alignment horizontal="left"/>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167" fontId="29" fillId="19" borderId="33"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0" fontId="27" fillId="4" borderId="28" xfId="34" applyFont="1" applyFill="1" applyBorder="1" applyAlignment="1">
      <alignment horizontal="left" vertical="center" wrapText="1" indent="2"/>
    </xf>
    <xf numFmtId="0" fontId="29" fillId="4" borderId="39" xfId="0" applyFont="1" applyFill="1" applyBorder="1"/>
    <xf numFmtId="0" fontId="27" fillId="4" borderId="24" xfId="33" applyFont="1" applyFill="1" applyBorder="1" applyAlignment="1">
      <alignment horizontal="left" vertical="top" wrapText="1" indent="2"/>
    </xf>
    <xf numFmtId="0" fontId="29" fillId="4" borderId="51" xfId="0" applyFont="1" applyFill="1" applyBorder="1"/>
    <xf numFmtId="0" fontId="27" fillId="4" borderId="24" xfId="34" applyFont="1" applyFill="1" applyBorder="1" applyAlignment="1">
      <alignment horizontal="left" vertical="center" wrapText="1" indent="2"/>
    </xf>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37" fillId="14" borderId="12"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37" fillId="14" borderId="0" xfId="0" applyFont="1" applyFill="1" applyAlignment="1">
      <alignment horizontal="center" vertical="center"/>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13" xfId="0" applyFont="1" applyFill="1" applyBorder="1" applyAlignment="1">
      <alignment horizontal="center" vertical="center"/>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5" fillId="32" borderId="123" xfId="60" applyFill="1" applyBorder="1" applyAlignment="1">
      <alignment horizontal="left"/>
    </xf>
    <xf numFmtId="0" fontId="5" fillId="32" borderId="116" xfId="60" applyFill="1" applyBorder="1" applyAlignment="1">
      <alignment horizontal="left"/>
    </xf>
    <xf numFmtId="0" fontId="2" fillId="32" borderId="121" xfId="60" applyFont="1" applyFill="1" applyBorder="1" applyAlignment="1">
      <alignment horizontal="left"/>
    </xf>
    <xf numFmtId="0" fontId="5" fillId="32" borderId="120"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6" xfId="60" applyFill="1" applyBorder="1" applyAlignment="1">
      <alignment horizontal="center"/>
    </xf>
    <xf numFmtId="0" fontId="5" fillId="28" borderId="135" xfId="60" applyFill="1" applyBorder="1" applyAlignment="1">
      <alignment horizontal="center"/>
    </xf>
    <xf numFmtId="0" fontId="5" fillId="28" borderId="134"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32" borderId="138" xfId="60" applyFont="1"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5" fillId="31" borderId="141" xfId="60"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96"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8" xfId="60" applyFill="1" applyBorder="1" applyAlignment="1">
      <alignment horizontal="center"/>
    </xf>
    <xf numFmtId="0" fontId="5" fillId="28" borderId="0" xfId="60" applyFill="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43" xfId="60" applyFill="1" applyBorder="1" applyAlignment="1" applyProtection="1">
      <alignment horizontal="center" vertical="center" wrapText="1"/>
      <protection locked="0"/>
    </xf>
    <xf numFmtId="0" fontId="105" fillId="30" borderId="0" xfId="60" applyFont="1" applyFill="1" applyAlignment="1">
      <alignment horizontal="center"/>
    </xf>
    <xf numFmtId="0" fontId="105" fillId="30" borderId="78" xfId="60" applyFont="1" applyFill="1" applyBorder="1" applyAlignment="1">
      <alignment horizontal="center"/>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174" fontId="96" fillId="20" borderId="128" xfId="59" applyNumberFormat="1" applyFont="1" applyFill="1" applyBorder="1" applyAlignment="1" applyProtection="1">
      <alignment horizontal="center" vertical="center" wrapText="1"/>
      <protection locked="0"/>
    </xf>
    <xf numFmtId="174" fontId="96" fillId="20" borderId="143" xfId="59" applyNumberFormat="1" applyFont="1" applyFill="1" applyBorder="1" applyAlignment="1" applyProtection="1">
      <alignment horizontal="center" vertical="center" wrapText="1"/>
      <protection locked="0"/>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8" fillId="26" borderId="77" xfId="60" applyFont="1" applyFill="1" applyBorder="1" applyAlignment="1">
      <alignment horizontal="center" vertical="center" wrapText="1"/>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5" fillId="31" borderId="96"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129"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77" xfId="60" applyFill="1" applyBorder="1" applyAlignment="1">
      <alignment horizontal="center"/>
    </xf>
    <xf numFmtId="0" fontId="5" fillId="28" borderId="78" xfId="60" applyFill="1" applyBorder="1" applyAlignment="1">
      <alignment horizontal="center"/>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3" fillId="28" borderId="128" xfId="60" applyFont="1" applyFill="1" applyBorder="1" applyAlignment="1">
      <alignment horizontal="center" vertical="center"/>
    </xf>
    <xf numFmtId="0" fontId="93" fillId="28" borderId="96" xfId="60" applyFont="1" applyFill="1" applyBorder="1" applyAlignment="1">
      <alignment horizontal="center" vertical="center"/>
    </xf>
    <xf numFmtId="0" fontId="93" fillId="28" borderId="124" xfId="60" applyFont="1" applyFill="1" applyBorder="1" applyAlignment="1">
      <alignment horizontal="center" vertical="center"/>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3" fillId="28" borderId="143"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98" fillId="26" borderId="142" xfId="60" applyFont="1" applyFill="1" applyBorder="1" applyAlignment="1" applyProtection="1">
      <alignment horizontal="center" vertical="center"/>
      <protection hidden="1"/>
    </xf>
    <xf numFmtId="174" fontId="96" fillId="20" borderId="96" xfId="59" applyNumberFormat="1" applyFont="1" applyFill="1" applyBorder="1" applyAlignment="1" applyProtection="1">
      <alignment horizontal="center" vertical="center" wrapText="1"/>
      <protection locked="0"/>
    </xf>
    <xf numFmtId="0" fontId="5" fillId="28" borderId="142"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5" fillId="32" borderId="136" xfId="60" applyFill="1" applyBorder="1" applyAlignment="1">
      <alignment horizontal="left" vertical="top" wrapText="1"/>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17" xfId="60" applyFont="1" applyFill="1" applyBorder="1" applyAlignment="1">
      <alignment horizontal="center"/>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28" borderId="138" xfId="60" applyFill="1" applyBorder="1" applyAlignment="1" applyProtection="1">
      <alignment horizontal="center"/>
      <protection hidden="1"/>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36" fillId="30" borderId="141" xfId="60" applyFont="1" applyFill="1" applyBorder="1" applyAlignment="1" applyProtection="1">
      <alignment horizontal="left" vertical="top" wrapText="1"/>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73" fillId="29" borderId="127" xfId="60" applyFont="1" applyFill="1" applyBorder="1" applyAlignment="1">
      <alignment horizontal="center"/>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0" fontId="3" fillId="20" borderId="0" xfId="60" applyFont="1" applyFill="1" applyAlignment="1">
      <alignment horizontal="left" vertical="top" wrapText="1"/>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29" fillId="0" borderId="0" xfId="52" applyFont="1" applyAlignment="1">
      <alignment horizontal="center"/>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37" fillId="0" borderId="0" xfId="52" applyFont="1" applyAlignment="1">
      <alignment wrapText="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cellStyle name="Currency 3" xfId="61"/>
    <cellStyle name="Hyperlink" xfId="1" builtinId="8"/>
    <cellStyle name="Hyperlink 2" xfId="56"/>
    <cellStyle name="Normal" xfId="0" builtinId="0"/>
    <cellStyle name="Normal 2" xfId="52"/>
    <cellStyle name="Normal 2 2" xfId="58"/>
    <cellStyle name="Normal 3" xfId="54"/>
    <cellStyle name="Normal 4" xfId="57"/>
    <cellStyle name="Normal 5" xfId="60"/>
    <cellStyle name="Normal 6" xfId="55"/>
    <cellStyle name="Normal_AFRPG10" xfId="2"/>
    <cellStyle name="Normal_AFRPG11" xfId="3"/>
    <cellStyle name="Normal_AFRPG12" xfId="4"/>
    <cellStyle name="Normal_AFRPG13" xfId="5"/>
    <cellStyle name="Normal_AFRPG14" xfId="6"/>
    <cellStyle name="Normal_AFRPG15" xfId="7"/>
    <cellStyle name="Normal_AFRPG16" xfId="8"/>
    <cellStyle name="Normal_AFRPG17" xfId="9"/>
    <cellStyle name="Normal_AFRPG18" xfId="10"/>
    <cellStyle name="Normal_AFRPG19" xfId="11"/>
    <cellStyle name="Normal_AFRPG20" xfId="12"/>
    <cellStyle name="Normal_AFRPG21" xfId="13"/>
    <cellStyle name="Normal_AFRPG22" xfId="14"/>
    <cellStyle name="Normal_AFRPG23" xfId="15"/>
    <cellStyle name="Normal_AFRPG24" xfId="16"/>
    <cellStyle name="Normal_AFRPG25" xfId="17"/>
    <cellStyle name="Normal_AFRPG26" xfId="18"/>
    <cellStyle name="Normal_AFRPG27" xfId="19"/>
    <cellStyle name="Normal_AFRPG28" xfId="20"/>
    <cellStyle name="Normal_AFRPG29" xfId="21"/>
    <cellStyle name="Normal_AFRPG30" xfId="22"/>
    <cellStyle name="Normal_AFRPG31" xfId="23"/>
    <cellStyle name="Normal_AFRPG32" xfId="24"/>
    <cellStyle name="Normal_AFRPG33" xfId="25"/>
    <cellStyle name="Normal_AFRPG34" xfId="26"/>
    <cellStyle name="Normal_AFRPG35" xfId="27"/>
    <cellStyle name="Normal_AFRPG36" xfId="28"/>
    <cellStyle name="Normal_AFRPG37" xfId="29"/>
    <cellStyle name="Normal_AFRPG38" xfId="30"/>
    <cellStyle name="Normal_AFRPG39" xfId="31"/>
    <cellStyle name="Normal_AFRPG40" xfId="32"/>
    <cellStyle name="Normal_AFRPG41" xfId="33"/>
    <cellStyle name="Normal_AFRPG42" xfId="34"/>
    <cellStyle name="Normal_AFRPG43" xfId="35"/>
    <cellStyle name="Normal_AFRPG44" xfId="36"/>
    <cellStyle name="Normal_AFRPG45" xfId="37"/>
    <cellStyle name="Normal_AFRPG46" xfId="38"/>
    <cellStyle name="Normal_AFRPG47" xfId="39"/>
    <cellStyle name="Normal_AFRPG48" xfId="40"/>
    <cellStyle name="Normal_AFRPG49" xfId="41"/>
    <cellStyle name="Normal_AFRPG50" xfId="42"/>
    <cellStyle name="Normal_AFRPG51" xfId="43"/>
    <cellStyle name="Normal_AFRPG52" xfId="44"/>
    <cellStyle name="Normal_AFRPG53" xfId="45"/>
    <cellStyle name="Normal_AFRPG54" xfId="46"/>
    <cellStyle name="Normal_AFRPG55" xfId="47"/>
    <cellStyle name="Normal_AFRPG56" xfId="48"/>
    <cellStyle name="Normal_AFRPG7" xfId="49"/>
    <cellStyle name="Normal_AFRPG8" xfId="50"/>
    <cellStyle name="Normal_AFRPG9" xfId="51"/>
    <cellStyle name="Percent 2" xfId="62"/>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zoomScale="115" zoomScaleNormal="115" workbookViewId="0">
      <selection activeCell="E55" sqref="E55:J55"/>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715" t="s">
        <v>229</v>
      </c>
      <c r="H1" s="1715"/>
      <c r="I1" s="1715"/>
      <c r="J1" s="1715"/>
      <c r="K1" s="1715"/>
      <c r="L1" s="1715"/>
      <c r="M1" s="1715"/>
      <c r="N1" s="1715"/>
      <c r="O1" s="1715"/>
    </row>
    <row r="2" spans="1:29" ht="12.2" customHeight="1" thickBot="1" x14ac:dyDescent="0.25">
      <c r="B2" s="1464" t="str">
        <f>IF(N14="SD","x","")</f>
        <v>x</v>
      </c>
      <c r="C2" s="137" t="s">
        <v>772</v>
      </c>
      <c r="D2" s="137"/>
      <c r="G2" s="1716" t="s">
        <v>77</v>
      </c>
      <c r="H2" s="1716"/>
      <c r="I2" s="1716"/>
      <c r="J2" s="1716"/>
      <c r="K2" s="1716"/>
      <c r="L2" s="1716"/>
      <c r="M2" s="1716"/>
      <c r="N2" s="1716"/>
      <c r="O2" s="1716"/>
      <c r="Q2" s="133"/>
      <c r="R2" s="133"/>
      <c r="S2" s="133"/>
      <c r="T2" s="133"/>
    </row>
    <row r="3" spans="1:29" ht="12.2" customHeight="1" thickBot="1" x14ac:dyDescent="0.25">
      <c r="B3" s="1465" t="str">
        <f>IF(N14="JA","x","")</f>
        <v/>
      </c>
      <c r="C3" s="137" t="s">
        <v>1911</v>
      </c>
      <c r="D3" s="137"/>
      <c r="G3" s="1716"/>
      <c r="H3" s="1716"/>
      <c r="I3" s="1716"/>
      <c r="J3" s="1716"/>
      <c r="K3" s="1716"/>
      <c r="L3" s="1716"/>
      <c r="M3" s="1716"/>
      <c r="N3" s="1716"/>
      <c r="O3" s="1716"/>
      <c r="P3" s="1718" t="str">
        <f>'DeficitBudgetSum Calc 22'!D7 &amp; " "</f>
        <v xml:space="preserve">Balanced budget; no Deficit Reduction Plan is required. </v>
      </c>
      <c r="Q3" s="1719"/>
      <c r="R3" s="1719"/>
      <c r="S3" s="1719"/>
      <c r="T3" s="1720"/>
      <c r="U3" s="135"/>
    </row>
    <row r="4" spans="1:29" ht="12.2" customHeight="1" x14ac:dyDescent="0.2">
      <c r="G4" s="1717" t="s">
        <v>771</v>
      </c>
      <c r="H4" s="1717"/>
      <c r="I4" s="1717"/>
      <c r="J4" s="1717"/>
      <c r="K4" s="1717"/>
      <c r="L4" s="1717"/>
      <c r="M4" s="1717"/>
      <c r="N4" s="1717"/>
      <c r="O4" s="1717"/>
      <c r="P4" s="1721"/>
      <c r="Q4" s="1722"/>
      <c r="R4" s="1722"/>
      <c r="S4" s="1722"/>
      <c r="T4" s="1723"/>
    </row>
    <row r="5" spans="1:29" ht="12.75" customHeight="1" thickBot="1" x14ac:dyDescent="0.25">
      <c r="A5" s="134" t="s">
        <v>463</v>
      </c>
      <c r="B5" s="136"/>
      <c r="C5" s="137"/>
      <c r="D5" s="137"/>
      <c r="G5" s="1732" t="str">
        <f>"July 1, "&amp;'B24'!L2-1</f>
        <v>July 1, 2023</v>
      </c>
      <c r="H5" s="1732"/>
      <c r="I5" s="1732"/>
      <c r="J5" s="1732"/>
      <c r="K5" s="624" t="str">
        <f>"- June 30, "&amp;'B24'!L2</f>
        <v>- June 30, 2024</v>
      </c>
      <c r="L5" s="623"/>
      <c r="M5" s="623"/>
      <c r="N5" s="623"/>
      <c r="O5" s="623"/>
      <c r="P5" s="1721"/>
      <c r="Q5" s="1722"/>
      <c r="R5" s="1722"/>
      <c r="S5" s="1722"/>
      <c r="T5" s="1723"/>
    </row>
    <row r="6" spans="1:29" ht="12.75" customHeight="1" thickBot="1" x14ac:dyDescent="0.25">
      <c r="B6" s="1455" t="s">
        <v>7244</v>
      </c>
      <c r="C6" s="132" t="s">
        <v>2139</v>
      </c>
      <c r="D6" s="1453"/>
      <c r="E6" s="1453"/>
      <c r="F6" s="1453"/>
      <c r="G6" s="1453"/>
      <c r="O6" s="138"/>
      <c r="P6" s="1721"/>
      <c r="Q6" s="1722"/>
      <c r="R6" s="1722"/>
      <c r="S6" s="1722"/>
      <c r="T6" s="1723"/>
    </row>
    <row r="7" spans="1:29" ht="12" customHeight="1" thickBot="1" x14ac:dyDescent="0.25">
      <c r="B7" s="1454"/>
      <c r="C7" s="132" t="s">
        <v>2140</v>
      </c>
      <c r="D7" s="137"/>
      <c r="O7" s="138"/>
      <c r="P7" s="1721"/>
      <c r="Q7" s="1722"/>
      <c r="R7" s="1722"/>
      <c r="S7" s="1722"/>
      <c r="T7" s="1723"/>
    </row>
    <row r="8" spans="1:29" ht="12.75" x14ac:dyDescent="0.2">
      <c r="B8" s="139"/>
      <c r="C8" s="142" t="s">
        <v>7230</v>
      </c>
      <c r="D8" s="140"/>
      <c r="E8" s="140"/>
      <c r="F8" s="140"/>
      <c r="G8" s="140"/>
      <c r="H8" s="1680" t="s">
        <v>4381</v>
      </c>
      <c r="I8" s="140"/>
      <c r="J8" s="140"/>
      <c r="O8" s="138"/>
      <c r="P8" s="1721"/>
      <c r="Q8" s="1722"/>
      <c r="R8" s="1722"/>
      <c r="S8" s="1722"/>
      <c r="T8" s="1723"/>
    </row>
    <row r="9" spans="1:29" ht="6.75" customHeight="1" x14ac:dyDescent="0.2">
      <c r="B9" s="136"/>
      <c r="C9" s="140"/>
      <c r="D9" s="140"/>
      <c r="E9" s="140"/>
      <c r="F9" s="140"/>
      <c r="G9" s="140"/>
      <c r="H9" s="140"/>
      <c r="I9" s="140"/>
      <c r="J9" s="140"/>
      <c r="M9" s="138"/>
      <c r="N9" s="138"/>
      <c r="O9" s="138"/>
      <c r="P9" s="1721"/>
      <c r="Q9" s="1722"/>
      <c r="R9" s="1722"/>
      <c r="S9" s="1722"/>
      <c r="T9" s="1723"/>
      <c r="U9" s="141"/>
      <c r="V9" s="141"/>
      <c r="W9" s="141"/>
      <c r="X9" s="141"/>
      <c r="Y9" s="609"/>
      <c r="Z9" s="141"/>
      <c r="AA9" s="141"/>
      <c r="AB9" s="141"/>
      <c r="AC9" s="141"/>
    </row>
    <row r="10" spans="1:29" ht="13.5" customHeight="1" x14ac:dyDescent="0.2">
      <c r="B10" s="139"/>
      <c r="C10" s="142" t="s">
        <v>218</v>
      </c>
      <c r="D10" s="142"/>
      <c r="G10" s="143"/>
      <c r="H10" s="1730"/>
      <c r="I10" s="1731"/>
      <c r="J10" s="1731"/>
      <c r="K10" s="144"/>
      <c r="L10" s="144"/>
      <c r="M10" s="144"/>
      <c r="N10" s="144"/>
      <c r="O10" s="138"/>
      <c r="P10" s="1721"/>
      <c r="Q10" s="1722"/>
      <c r="R10" s="1722"/>
      <c r="S10" s="1722"/>
      <c r="T10" s="1723"/>
    </row>
    <row r="11" spans="1:29" ht="9.75" customHeight="1" x14ac:dyDescent="0.2">
      <c r="G11" s="145"/>
      <c r="H11" s="1733" t="s">
        <v>519</v>
      </c>
      <c r="I11" s="1733"/>
      <c r="J11" s="1733"/>
      <c r="K11" s="146"/>
      <c r="L11" s="146"/>
      <c r="M11" s="138"/>
      <c r="N11" s="138"/>
      <c r="O11" s="138"/>
      <c r="P11" s="1721"/>
      <c r="Q11" s="1722"/>
      <c r="R11" s="1722"/>
      <c r="S11" s="1722"/>
      <c r="T11" s="1723"/>
    </row>
    <row r="12" spans="1:29" ht="7.5" customHeight="1" x14ac:dyDescent="0.2">
      <c r="G12" s="145"/>
      <c r="H12" s="147"/>
      <c r="I12" s="147"/>
      <c r="J12" s="147"/>
      <c r="K12" s="146"/>
      <c r="L12" s="146"/>
      <c r="M12" s="138"/>
      <c r="N12" s="138"/>
      <c r="O12" s="138"/>
      <c r="P12" s="1721"/>
      <c r="Q12" s="1722"/>
      <c r="R12" s="1722"/>
      <c r="S12" s="1722"/>
      <c r="T12" s="1723"/>
    </row>
    <row r="13" spans="1:29" ht="13.5" customHeight="1" thickBot="1" x14ac:dyDescent="0.25">
      <c r="C13" s="142" t="s">
        <v>252</v>
      </c>
      <c r="D13" s="142"/>
      <c r="E13" s="148"/>
      <c r="F13" s="149"/>
      <c r="H13" s="1727" t="s">
        <v>1173</v>
      </c>
      <c r="I13" s="1728"/>
      <c r="J13" s="1728"/>
      <c r="K13" s="1728"/>
      <c r="L13" s="1728"/>
      <c r="M13" s="1729"/>
      <c r="N13" s="144"/>
      <c r="O13" s="138"/>
      <c r="P13" s="1724"/>
      <c r="Q13" s="1725"/>
      <c r="R13" s="1725"/>
      <c r="S13" s="1725"/>
      <c r="T13" s="1726"/>
      <c r="Y13" s="610">
        <f>IF(H14&lt;&gt;"Select dist name from drop-down on line above",1,0)</f>
        <v>1</v>
      </c>
    </row>
    <row r="14" spans="1:29" ht="13.5" customHeight="1" x14ac:dyDescent="0.2">
      <c r="C14" s="150" t="s">
        <v>253</v>
      </c>
      <c r="D14" s="150"/>
      <c r="E14" s="151"/>
      <c r="F14" s="152"/>
      <c r="G14" s="152"/>
      <c r="H14" s="1707" t="str">
        <f>IFERROR(VLOOKUP(H13,'District Drop-down'!$C$2:$D$1004,2,FALSE),"Please select district from drop-down list on line 13.")</f>
        <v>34049037002</v>
      </c>
      <c r="I14" s="1707"/>
      <c r="J14" s="1707"/>
      <c r="K14" s="1707"/>
      <c r="L14" s="1707"/>
      <c r="M14" s="1707"/>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4" t="str">
        <f>IF(H13="","",H13)</f>
        <v>Gavin SD 37</v>
      </c>
      <c r="F24" s="1714"/>
      <c r="G24" s="1714"/>
      <c r="H24" s="1714"/>
      <c r="I24" s="1714"/>
      <c r="J24" s="1714"/>
      <c r="K24" s="1714"/>
      <c r="L24" s="164" t="s">
        <v>311</v>
      </c>
      <c r="M24" s="165"/>
      <c r="N24" s="1699" t="str">
        <f>IFERROR(VLOOKUP($H$13,'District Drop-down'!$C$2:$E$1004,3,FALSE),"")</f>
        <v>Lake</v>
      </c>
      <c r="O24" s="1699"/>
      <c r="P24" s="1699"/>
      <c r="Q24" s="1699"/>
      <c r="R24" s="1699"/>
      <c r="S24" s="132" t="s">
        <v>394</v>
      </c>
    </row>
    <row r="25" spans="1:20" ht="15" customHeight="1" x14ac:dyDescent="0.25">
      <c r="B25" s="1397" t="s">
        <v>1927</v>
      </c>
      <c r="H25" s="166"/>
      <c r="I25" s="1701" t="str">
        <f>"July 1, "&amp;'B24'!L2-1</f>
        <v>July 1, 2023</v>
      </c>
      <c r="J25" s="1701"/>
      <c r="K25" s="1701"/>
      <c r="L25" s="1702" t="s">
        <v>1928</v>
      </c>
      <c r="M25" s="1702"/>
      <c r="N25" s="1709" t="str">
        <f>"June 30, "&amp;'B24'!L2</f>
        <v>June 30, 2024</v>
      </c>
      <c r="O25" s="1709"/>
      <c r="P25" s="1709"/>
      <c r="Q25" s="1709"/>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3" t="str">
        <f>IF(H13=" Click here to choose your district from drop-down list","",H13)</f>
        <v>Gavin SD 37</v>
      </c>
      <c r="I27" s="1713"/>
      <c r="J27" s="1713"/>
      <c r="K27" s="1713"/>
      <c r="L27" s="1713"/>
      <c r="M27" s="1713"/>
      <c r="N27" s="1713"/>
      <c r="O27" s="1713"/>
      <c r="P27" s="1713"/>
      <c r="Q27" s="1713"/>
      <c r="R27" s="1713"/>
      <c r="S27" s="132" t="s">
        <v>221</v>
      </c>
    </row>
    <row r="28" spans="1:20" ht="15" customHeight="1" x14ac:dyDescent="0.2">
      <c r="A28" s="627" t="s">
        <v>673</v>
      </c>
      <c r="D28" s="1700" t="str">
        <f>N24</f>
        <v>Lake</v>
      </c>
      <c r="E28" s="1700"/>
      <c r="F28" s="1700"/>
      <c r="G28" s="1700"/>
      <c r="H28" s="1700"/>
      <c r="I28" s="1399" t="s">
        <v>2132</v>
      </c>
    </row>
    <row r="29" spans="1:20" ht="15" customHeight="1" x14ac:dyDescent="0.2">
      <c r="A29" s="1398" t="s">
        <v>1930</v>
      </c>
    </row>
    <row r="30" spans="1:20" ht="9" customHeight="1" x14ac:dyDescent="0.2"/>
    <row r="31" spans="1:20" ht="15" customHeight="1" x14ac:dyDescent="0.2">
      <c r="C31" s="1400" t="s">
        <v>1931</v>
      </c>
      <c r="D31" s="1400"/>
      <c r="K31" s="1359">
        <v>20</v>
      </c>
      <c r="L31" s="164" t="s">
        <v>260</v>
      </c>
      <c r="M31" s="1708" t="s">
        <v>7245</v>
      </c>
      <c r="N31" s="1708"/>
      <c r="O31" s="1708"/>
      <c r="P31" s="639" t="s">
        <v>1935</v>
      </c>
      <c r="Q31" s="1361" t="s">
        <v>7246</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01" t="str">
        <f>I25</f>
        <v>July 1, 2023</v>
      </c>
      <c r="F37" s="1701"/>
      <c r="G37" s="1701"/>
      <c r="H37" s="1710" t="s">
        <v>1928</v>
      </c>
      <c r="I37" s="1710"/>
      <c r="J37" s="1701" t="str">
        <f>N25</f>
        <v>June 30, 2024</v>
      </c>
      <c r="K37" s="1701"/>
      <c r="L37" s="1701"/>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03" t="s">
        <v>1938</v>
      </c>
      <c r="B42" s="1703"/>
      <c r="C42" s="1703"/>
      <c r="D42" s="1703"/>
      <c r="E42" s="1703"/>
      <c r="F42" s="1703"/>
      <c r="G42" s="1703"/>
      <c r="H42" s="1703"/>
      <c r="I42" s="1703"/>
      <c r="J42" s="1703"/>
      <c r="K42" s="1703"/>
      <c r="L42" s="1703"/>
      <c r="M42" s="1703"/>
      <c r="N42" s="1703"/>
      <c r="O42" s="1703"/>
      <c r="P42" s="1703"/>
      <c r="Q42" s="1703"/>
      <c r="R42" s="1703"/>
    </row>
    <row r="43" spans="1:25" ht="14.1" customHeight="1" x14ac:dyDescent="0.2">
      <c r="C43" s="1400" t="s">
        <v>1939</v>
      </c>
      <c r="D43" s="1400"/>
      <c r="N43" s="1360">
        <v>20</v>
      </c>
      <c r="O43" s="164" t="s">
        <v>1940</v>
      </c>
      <c r="P43" s="1711" t="s">
        <v>7245</v>
      </c>
      <c r="Q43" s="1711"/>
      <c r="R43" s="1711"/>
      <c r="S43" s="640" t="s">
        <v>1943</v>
      </c>
      <c r="T43" s="1361" t="s">
        <v>7246</v>
      </c>
      <c r="X43" s="608"/>
      <c r="Y43" s="132"/>
    </row>
    <row r="44" spans="1:25" ht="15.6" customHeight="1" x14ac:dyDescent="0.2">
      <c r="A44" s="1398" t="s">
        <v>1944</v>
      </c>
      <c r="C44" s="1398"/>
      <c r="D44" s="1398"/>
      <c r="E44" s="1712"/>
      <c r="F44" s="1712"/>
      <c r="G44" s="1398" t="s">
        <v>1941</v>
      </c>
      <c r="H44" s="1359"/>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04" t="s">
        <v>671</v>
      </c>
      <c r="F48" s="1705"/>
      <c r="G48" s="1705"/>
      <c r="H48" s="1705"/>
      <c r="I48" s="1705"/>
      <c r="J48" s="1706"/>
      <c r="K48" s="1704" t="s">
        <v>672</v>
      </c>
      <c r="L48" s="1705"/>
      <c r="M48" s="1705"/>
      <c r="N48" s="1705"/>
      <c r="O48" s="1705"/>
      <c r="P48" s="1705"/>
      <c r="Q48" s="1706"/>
    </row>
    <row r="49" spans="1:22" ht="18" customHeight="1" x14ac:dyDescent="0.2">
      <c r="E49" s="1691" t="s">
        <v>7247</v>
      </c>
      <c r="F49" s="1692"/>
      <c r="G49" s="1692"/>
      <c r="H49" s="1692"/>
      <c r="I49" s="1692"/>
      <c r="J49" s="1693"/>
      <c r="K49" s="1691"/>
      <c r="L49" s="1692"/>
      <c r="M49" s="1692"/>
      <c r="N49" s="1692"/>
      <c r="O49" s="1692"/>
      <c r="P49" s="1692"/>
      <c r="Q49" s="1693"/>
    </row>
    <row r="50" spans="1:22" ht="18" customHeight="1" x14ac:dyDescent="0.2">
      <c r="E50" s="1691" t="s">
        <v>7248</v>
      </c>
      <c r="F50" s="1692"/>
      <c r="G50" s="1692"/>
      <c r="H50" s="1692"/>
      <c r="I50" s="1692"/>
      <c r="J50" s="1693"/>
      <c r="K50" s="1691"/>
      <c r="L50" s="1692"/>
      <c r="M50" s="1692"/>
      <c r="N50" s="1692"/>
      <c r="O50" s="1692"/>
      <c r="P50" s="1692"/>
      <c r="Q50" s="1693"/>
    </row>
    <row r="51" spans="1:22" ht="18" customHeight="1" x14ac:dyDescent="0.2">
      <c r="E51" s="1691" t="s">
        <v>7249</v>
      </c>
      <c r="F51" s="1692"/>
      <c r="G51" s="1692"/>
      <c r="H51" s="1692"/>
      <c r="I51" s="1692"/>
      <c r="J51" s="1693"/>
      <c r="K51" s="1691"/>
      <c r="L51" s="1692"/>
      <c r="M51" s="1692"/>
      <c r="N51" s="1692"/>
      <c r="O51" s="1692"/>
      <c r="P51" s="1692"/>
      <c r="Q51" s="1693"/>
    </row>
    <row r="52" spans="1:22" ht="18" customHeight="1" x14ac:dyDescent="0.2">
      <c r="E52" s="1691" t="s">
        <v>7250</v>
      </c>
      <c r="F52" s="1692"/>
      <c r="G52" s="1692"/>
      <c r="H52" s="1692"/>
      <c r="I52" s="1692"/>
      <c r="J52" s="1693"/>
      <c r="K52" s="1691"/>
      <c r="L52" s="1692"/>
      <c r="M52" s="1692"/>
      <c r="N52" s="1692"/>
      <c r="O52" s="1692"/>
      <c r="P52" s="1692"/>
      <c r="Q52" s="1693"/>
    </row>
    <row r="53" spans="1:22" ht="18" customHeight="1" x14ac:dyDescent="0.2">
      <c r="E53" s="1691" t="s">
        <v>7251</v>
      </c>
      <c r="F53" s="1692"/>
      <c r="G53" s="1692"/>
      <c r="H53" s="1692"/>
      <c r="I53" s="1692"/>
      <c r="J53" s="1693"/>
      <c r="K53" s="1691"/>
      <c r="L53" s="1692"/>
      <c r="M53" s="1692"/>
      <c r="N53" s="1692"/>
      <c r="O53" s="1692"/>
      <c r="P53" s="1692"/>
      <c r="Q53" s="1693"/>
    </row>
    <row r="54" spans="1:22" ht="18" customHeight="1" x14ac:dyDescent="0.2">
      <c r="E54" s="1691" t="s">
        <v>7252</v>
      </c>
      <c r="F54" s="1692"/>
      <c r="G54" s="1692"/>
      <c r="H54" s="1692"/>
      <c r="I54" s="1692"/>
      <c r="J54" s="1693"/>
      <c r="K54" s="1691"/>
      <c r="L54" s="1692"/>
      <c r="M54" s="1692"/>
      <c r="N54" s="1692"/>
      <c r="O54" s="1692"/>
      <c r="P54" s="1692"/>
      <c r="Q54" s="1693"/>
    </row>
    <row r="55" spans="1:22" ht="18" customHeight="1" x14ac:dyDescent="0.2">
      <c r="E55" s="1691"/>
      <c r="F55" s="1692"/>
      <c r="G55" s="1692"/>
      <c r="H55" s="1692"/>
      <c r="I55" s="1692"/>
      <c r="J55" s="1693"/>
      <c r="K55" s="1691"/>
      <c r="L55" s="1692"/>
      <c r="M55" s="1692"/>
      <c r="N55" s="1692"/>
      <c r="O55" s="1692"/>
      <c r="P55" s="1692"/>
      <c r="Q55" s="1693"/>
    </row>
    <row r="56" spans="1:22" ht="18" customHeight="1" x14ac:dyDescent="0.2">
      <c r="E56" s="1691"/>
      <c r="F56" s="1692"/>
      <c r="G56" s="1692"/>
      <c r="H56" s="1692"/>
      <c r="I56" s="1692"/>
      <c r="J56" s="1693"/>
      <c r="K56" s="1691"/>
      <c r="L56" s="1692"/>
      <c r="M56" s="1692"/>
      <c r="N56" s="1692"/>
      <c r="O56" s="1692"/>
      <c r="P56" s="1692"/>
      <c r="Q56" s="1693"/>
    </row>
    <row r="57" spans="1:22" ht="18" customHeight="1" x14ac:dyDescent="0.2">
      <c r="E57" s="1691"/>
      <c r="F57" s="1692"/>
      <c r="G57" s="1692"/>
      <c r="H57" s="1692"/>
      <c r="I57" s="1692"/>
      <c r="J57" s="1693"/>
      <c r="K57" s="1691"/>
      <c r="L57" s="1692"/>
      <c r="M57" s="1692"/>
      <c r="N57" s="1692"/>
      <c r="O57" s="1692"/>
      <c r="P57" s="1692"/>
      <c r="Q57" s="1693"/>
    </row>
    <row r="58" spans="1:22" ht="18" customHeight="1" x14ac:dyDescent="0.2">
      <c r="E58" s="1696"/>
      <c r="F58" s="1697"/>
      <c r="G58" s="1697"/>
      <c r="H58" s="1697"/>
      <c r="I58" s="1697"/>
      <c r="J58" s="1698"/>
      <c r="K58" s="1696"/>
      <c r="L58" s="1697"/>
      <c r="M58" s="1697"/>
      <c r="N58" s="1697"/>
      <c r="O58" s="1697"/>
      <c r="P58" s="1697"/>
      <c r="Q58" s="1698"/>
    </row>
    <row r="59" spans="1:22" ht="6" customHeight="1" x14ac:dyDescent="0.2"/>
    <row r="60" spans="1:22" ht="12.75" x14ac:dyDescent="0.2">
      <c r="B60" s="175"/>
      <c r="C60" s="176"/>
      <c r="D60" s="176" t="s">
        <v>518</v>
      </c>
      <c r="E60" s="1694" t="s">
        <v>315</v>
      </c>
      <c r="F60" s="1695"/>
      <c r="G60" s="1695"/>
      <c r="H60" s="1695"/>
      <c r="I60" s="1695"/>
      <c r="J60" s="1695"/>
      <c r="K60" s="1695"/>
      <c r="L60" s="1695"/>
      <c r="M60" s="1695"/>
      <c r="N60" s="1695"/>
      <c r="O60" s="1695"/>
      <c r="P60" s="1695"/>
      <c r="Q60" s="1695"/>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690" t="str">
        <f>H13</f>
        <v>Gavin SD 37</v>
      </c>
      <c r="D71" s="1690"/>
      <c r="E71" s="1690"/>
      <c r="F71" s="1690"/>
      <c r="G71" s="1690"/>
    </row>
    <row r="72" spans="1:19" ht="12" x14ac:dyDescent="0.2">
      <c r="C72" s="1689" t="str">
        <f>H14</f>
        <v>34049037002</v>
      </c>
      <c r="D72" s="1689"/>
    </row>
  </sheetData>
  <sheetProtection algorithmName="SHA-512" hashValue="QyqxHZtr0ozoMio5JQloThWmx0pR3rFkiuQrFN5rJ84qr4KqNCriK0msJbwdJ5a4Rv/Ef8abmbkqzHipwdIz0A==" saltValue="OXJME84fNy8ohCnUWowNF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7"/>
  <sheetViews>
    <sheetView topLeftCell="A136" zoomScale="80" zoomScaleNormal="80" workbookViewId="0">
      <selection activeCell="H104" sqref="H104"/>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2019" t="s">
        <v>4389</v>
      </c>
      <c r="B1" s="2020"/>
      <c r="C1" s="2020"/>
      <c r="D1" s="2020"/>
      <c r="E1" s="2020"/>
      <c r="F1" s="2020"/>
      <c r="G1" s="2020"/>
      <c r="H1" s="2020"/>
      <c r="I1" s="2020"/>
      <c r="J1" s="2020"/>
      <c r="K1" s="2020"/>
      <c r="L1" s="2020"/>
      <c r="M1" s="2021"/>
      <c r="N1" s="1536" t="s">
        <v>1624</v>
      </c>
      <c r="O1" s="1535" t="str">
        <f>IF(Cover!H13=0,"",Cover!H14)</f>
        <v>34049037002</v>
      </c>
      <c r="Q1" s="1486" t="s">
        <v>4388</v>
      </c>
      <c r="R1" s="1601" t="s">
        <v>4387</v>
      </c>
      <c r="S1" s="1601" t="s">
        <v>6990</v>
      </c>
      <c r="T1" s="1601" t="s">
        <v>6991</v>
      </c>
      <c r="U1" s="1601" t="s">
        <v>6992</v>
      </c>
      <c r="V1" s="1486" t="s">
        <v>4386</v>
      </c>
    </row>
    <row r="2" spans="1:23" ht="34.5" customHeight="1" thickBot="1" x14ac:dyDescent="0.3">
      <c r="A2" s="2038" t="str">
        <f>IF(Cover!H13=0,"",IFERROR(VLOOKUP(O1,'FY23 Data for FY24 Plan'!A3:B929,2,FALSE),"N/A - EBF Spending Plan Not Required for Joint Agreements"))</f>
        <v>GAVIN SCHOOL DIST 37</v>
      </c>
      <c r="B2" s="2039"/>
      <c r="C2" s="2039"/>
      <c r="D2" s="2039"/>
      <c r="E2" s="2039"/>
      <c r="F2" s="2039"/>
      <c r="G2" s="2039"/>
      <c r="H2" s="2039"/>
      <c r="I2" s="2039"/>
      <c r="J2" s="2039"/>
      <c r="K2" s="2039"/>
      <c r="L2" s="2039"/>
      <c r="M2" s="2040"/>
      <c r="N2" s="1532"/>
      <c r="Q2" s="1607" t="s">
        <v>4366</v>
      </c>
      <c r="R2" s="1607" t="s">
        <v>6976</v>
      </c>
      <c r="S2" s="1607" t="s">
        <v>6978</v>
      </c>
      <c r="T2" s="1489" t="s">
        <v>4333</v>
      </c>
      <c r="U2" s="1607" t="s">
        <v>4239</v>
      </c>
      <c r="V2" s="1601" t="s">
        <v>4333</v>
      </c>
      <c r="W2" s="1601"/>
    </row>
    <row r="3" spans="1:23" ht="25.5" customHeight="1" thickBot="1" x14ac:dyDescent="0.3">
      <c r="A3" s="1974" t="s">
        <v>4385</v>
      </c>
      <c r="B3" s="1975"/>
      <c r="C3" s="1975"/>
      <c r="D3" s="1975"/>
      <c r="E3" s="1975"/>
      <c r="F3" s="1975"/>
      <c r="G3" s="1975"/>
      <c r="H3" s="1975"/>
      <c r="I3" s="1975"/>
      <c r="J3" s="1975"/>
      <c r="K3" s="1975"/>
      <c r="L3" s="1975"/>
      <c r="M3" s="1976"/>
      <c r="N3" s="1534" t="s">
        <v>4384</v>
      </c>
      <c r="O3" s="1533" t="s">
        <v>4383</v>
      </c>
      <c r="Q3" s="1607" t="s">
        <v>4382</v>
      </c>
      <c r="R3" s="1607" t="s">
        <v>6977</v>
      </c>
      <c r="S3" s="1607" t="s">
        <v>6979</v>
      </c>
      <c r="T3" s="1489"/>
      <c r="U3" s="1607" t="s">
        <v>6987</v>
      </c>
      <c r="V3" s="1601" t="s">
        <v>4381</v>
      </c>
      <c r="W3" s="1601"/>
    </row>
    <row r="4" spans="1:23" ht="27.75" customHeight="1" thickBot="1" x14ac:dyDescent="0.3">
      <c r="A4" s="2022" t="s">
        <v>6963</v>
      </c>
      <c r="B4" s="2023"/>
      <c r="C4" s="2023"/>
      <c r="D4" s="2023"/>
      <c r="E4" s="2023"/>
      <c r="F4" s="2023"/>
      <c r="G4" s="2023"/>
      <c r="H4" s="2023"/>
      <c r="I4" s="2023"/>
      <c r="J4" s="2023"/>
      <c r="K4" s="2023"/>
      <c r="L4" s="2023"/>
      <c r="M4" s="2024"/>
      <c r="N4" s="1532"/>
      <c r="O4" s="1559" t="s">
        <v>6965</v>
      </c>
      <c r="Q4" s="1607" t="s">
        <v>4380</v>
      </c>
      <c r="R4" s="1607"/>
      <c r="S4" s="1607" t="s">
        <v>6980</v>
      </c>
      <c r="T4" s="1489"/>
      <c r="U4" s="1607" t="s">
        <v>4237</v>
      </c>
      <c r="V4" s="1601"/>
      <c r="W4" s="1601"/>
    </row>
    <row r="5" spans="1:23" ht="25.5" customHeight="1" thickBot="1" x14ac:dyDescent="0.3">
      <c r="A5" s="2025" t="s">
        <v>6964</v>
      </c>
      <c r="B5" s="2026"/>
      <c r="C5" s="2026"/>
      <c r="D5" s="2026"/>
      <c r="E5" s="2026"/>
      <c r="F5" s="2026"/>
      <c r="G5" s="2026"/>
      <c r="H5" s="2026"/>
      <c r="I5" s="2026"/>
      <c r="J5" s="2026"/>
      <c r="K5" s="2026"/>
      <c r="L5" s="2026"/>
      <c r="M5" s="2027"/>
      <c r="N5" s="1608"/>
      <c r="O5" s="1531" t="s">
        <v>4379</v>
      </c>
      <c r="Q5" s="1607" t="s">
        <v>4365</v>
      </c>
      <c r="R5" s="1607"/>
      <c r="S5" s="1607" t="s">
        <v>6981</v>
      </c>
      <c r="T5" s="1601"/>
      <c r="U5" s="1607" t="s">
        <v>4236</v>
      </c>
      <c r="V5" s="1601"/>
      <c r="W5" s="1601"/>
    </row>
    <row r="6" spans="1:23" ht="55.5" customHeight="1" x14ac:dyDescent="0.25">
      <c r="A6" s="1519" t="s">
        <v>4310</v>
      </c>
      <c r="B6" s="2028" t="s">
        <v>6969</v>
      </c>
      <c r="C6" s="2028"/>
      <c r="D6" s="2028"/>
      <c r="E6" s="2028"/>
      <c r="F6" s="2028"/>
      <c r="G6" s="2028"/>
      <c r="H6" s="2028"/>
      <c r="I6" s="2028"/>
      <c r="J6" s="2028"/>
      <c r="K6" s="2028"/>
      <c r="L6" s="2029"/>
      <c r="M6" s="2030"/>
      <c r="N6" s="1490"/>
      <c r="Q6" s="1607" t="s">
        <v>4377</v>
      </c>
      <c r="R6" s="1607"/>
      <c r="S6" s="1607" t="s">
        <v>6982</v>
      </c>
      <c r="T6" s="1489"/>
      <c r="U6" s="1607" t="s">
        <v>6988</v>
      </c>
      <c r="V6" s="1601"/>
      <c r="W6" s="1601"/>
    </row>
    <row r="7" spans="1:23" ht="55.5" customHeight="1" x14ac:dyDescent="0.25">
      <c r="A7" s="2031"/>
      <c r="B7" s="2034" t="s">
        <v>7253</v>
      </c>
      <c r="C7" s="2035"/>
      <c r="D7" s="2035"/>
      <c r="E7" s="2035"/>
      <c r="F7" s="2035"/>
      <c r="G7" s="2035"/>
      <c r="H7" s="2035"/>
      <c r="I7" s="2035"/>
      <c r="J7" s="2035"/>
      <c r="K7" s="2035"/>
      <c r="L7" s="2036"/>
      <c r="M7" s="2037"/>
      <c r="N7" s="1490">
        <f>IF(LEN(B7)&gt;10,1,0)</f>
        <v>1</v>
      </c>
      <c r="Q7" s="1607" t="s">
        <v>4376</v>
      </c>
      <c r="R7" s="1607"/>
      <c r="S7" s="1607" t="s">
        <v>6983</v>
      </c>
      <c r="T7" s="1489"/>
      <c r="U7" s="1607" t="s">
        <v>4234</v>
      </c>
      <c r="V7" s="1601"/>
      <c r="W7" s="1601"/>
    </row>
    <row r="8" spans="1:23" ht="55.5" customHeight="1" x14ac:dyDescent="0.25">
      <c r="A8" s="2032"/>
      <c r="B8" s="2035"/>
      <c r="C8" s="2035"/>
      <c r="D8" s="2035"/>
      <c r="E8" s="2035"/>
      <c r="F8" s="2035"/>
      <c r="G8" s="2035"/>
      <c r="H8" s="2035"/>
      <c r="I8" s="2035"/>
      <c r="J8" s="2035"/>
      <c r="K8" s="2035"/>
      <c r="L8" s="2036"/>
      <c r="M8" s="2037"/>
      <c r="N8" s="1490"/>
      <c r="Q8" s="1607" t="s">
        <v>4374</v>
      </c>
      <c r="R8" s="1607"/>
      <c r="S8" s="1607" t="s">
        <v>4378</v>
      </c>
      <c r="T8" s="1489"/>
      <c r="U8" s="1607" t="s">
        <v>4233</v>
      </c>
      <c r="V8" s="1601"/>
      <c r="W8" s="1601"/>
    </row>
    <row r="9" spans="1:23" ht="55.5" customHeight="1" x14ac:dyDescent="0.25">
      <c r="A9" s="2033"/>
      <c r="B9" s="2035"/>
      <c r="C9" s="2035"/>
      <c r="D9" s="2035"/>
      <c r="E9" s="2035"/>
      <c r="F9" s="2035"/>
      <c r="G9" s="2035"/>
      <c r="H9" s="2035"/>
      <c r="I9" s="2035"/>
      <c r="J9" s="2035"/>
      <c r="K9" s="2035"/>
      <c r="L9" s="2036"/>
      <c r="M9" s="2037"/>
      <c r="N9" s="1490"/>
      <c r="Q9" s="1607" t="s">
        <v>4372</v>
      </c>
      <c r="R9" s="1607"/>
      <c r="S9" s="1607" t="s">
        <v>4347</v>
      </c>
      <c r="T9" s="1489"/>
      <c r="U9" s="1607" t="s">
        <v>4232</v>
      </c>
      <c r="V9" s="1601"/>
      <c r="W9" s="1601"/>
    </row>
    <row r="10" spans="1:23" ht="28.5" customHeight="1" x14ac:dyDescent="0.25">
      <c r="A10" s="1542"/>
      <c r="B10" s="1540"/>
      <c r="C10" s="1540"/>
      <c r="D10" s="1540"/>
      <c r="E10" s="1540"/>
      <c r="F10" s="1540"/>
      <c r="G10" s="2016" t="s">
        <v>4371</v>
      </c>
      <c r="H10" s="2018"/>
      <c r="I10" s="2016" t="s">
        <v>4370</v>
      </c>
      <c r="J10" s="2017"/>
      <c r="K10" s="2018"/>
      <c r="L10" s="2016" t="s">
        <v>4369</v>
      </c>
      <c r="M10" s="2041"/>
      <c r="N10" s="1490"/>
      <c r="Q10" s="1607" t="s">
        <v>4368</v>
      </c>
      <c r="R10" s="1607"/>
      <c r="S10" s="1607" t="s">
        <v>4375</v>
      </c>
      <c r="T10" s="1489"/>
      <c r="U10" s="1607" t="s">
        <v>4231</v>
      </c>
      <c r="V10" s="1601"/>
      <c r="W10" s="1601"/>
    </row>
    <row r="11" spans="1:23" ht="86.25" customHeight="1" x14ac:dyDescent="0.25">
      <c r="A11" s="1519" t="s">
        <v>4307</v>
      </c>
      <c r="B11" s="2013" t="s">
        <v>6966</v>
      </c>
      <c r="C11" s="2014"/>
      <c r="D11" s="2014"/>
      <c r="E11" s="2014"/>
      <c r="F11" s="2015"/>
      <c r="G11" s="1945" t="s">
        <v>4382</v>
      </c>
      <c r="H11" s="1981"/>
      <c r="I11" s="1945" t="s">
        <v>4380</v>
      </c>
      <c r="J11" s="1980"/>
      <c r="K11" s="1981"/>
      <c r="L11" s="1945" t="s">
        <v>4372</v>
      </c>
      <c r="M11" s="1946"/>
      <c r="N11" s="1490">
        <f>IF(OR(G11="",I11="",L11=""),0,IF(OR(G11=I11,G11=L11,I11=L11),0,1))</f>
        <v>1</v>
      </c>
      <c r="Q11" s="1607" t="s">
        <v>4364</v>
      </c>
      <c r="R11" s="1607"/>
      <c r="S11" s="1607" t="s">
        <v>4373</v>
      </c>
      <c r="T11" s="1489"/>
      <c r="U11" s="1607" t="s">
        <v>4230</v>
      </c>
      <c r="V11" s="1601"/>
      <c r="W11" s="1601"/>
    </row>
    <row r="12" spans="1:23" ht="30.75" customHeight="1" x14ac:dyDescent="0.25">
      <c r="A12" s="1541"/>
      <c r="B12" s="2048" t="s">
        <v>4363</v>
      </c>
      <c r="C12" s="2048"/>
      <c r="D12" s="2048"/>
      <c r="E12" s="2048"/>
      <c r="F12" s="2049"/>
      <c r="G12" s="2001"/>
      <c r="H12" s="2001"/>
      <c r="I12" s="2001"/>
      <c r="J12" s="2001"/>
      <c r="K12" s="2001"/>
      <c r="L12" s="2001"/>
      <c r="M12" s="2002"/>
      <c r="N12" s="1490"/>
      <c r="Q12" s="1607" t="s">
        <v>6967</v>
      </c>
      <c r="R12" s="1607"/>
      <c r="S12" s="1607" t="s">
        <v>4346</v>
      </c>
      <c r="T12" s="1489"/>
      <c r="U12" s="1607" t="s">
        <v>4229</v>
      </c>
      <c r="V12" s="1601"/>
      <c r="W12" s="1601"/>
    </row>
    <row r="13" spans="1:23" ht="58.5" customHeight="1" x14ac:dyDescent="0.25">
      <c r="A13" s="1543" t="str">
        <f>IF(OR(G11="Other", I11="Other",M11="Other"),"Required","")</f>
        <v/>
      </c>
      <c r="B13" s="1900" t="str">
        <f>IF(COUNTIF(G11:M11,"Other"),"Required","")</f>
        <v/>
      </c>
      <c r="C13" s="1900"/>
      <c r="D13" s="1900"/>
      <c r="E13" s="1900"/>
      <c r="F13" s="1901"/>
      <c r="G13" s="2003"/>
      <c r="H13" s="2003"/>
      <c r="I13" s="2003"/>
      <c r="J13" s="2003"/>
      <c r="K13" s="2003"/>
      <c r="L13" s="2003"/>
      <c r="M13" s="2004"/>
      <c r="N13" s="1490">
        <f>IF(B13="",1,IF(LEN(G12)&gt;10,1,0))</f>
        <v>1</v>
      </c>
      <c r="Q13" s="1607" t="s">
        <v>6968</v>
      </c>
      <c r="R13" s="1607"/>
      <c r="S13" s="1607" t="s">
        <v>4367</v>
      </c>
      <c r="T13" s="1489"/>
      <c r="U13" s="1607" t="s">
        <v>4228</v>
      </c>
      <c r="V13" s="1601"/>
      <c r="W13" s="1601"/>
    </row>
    <row r="14" spans="1:23" ht="6" customHeight="1" x14ac:dyDescent="0.25">
      <c r="A14" s="2005"/>
      <c r="B14" s="1942"/>
      <c r="C14" s="1942"/>
      <c r="D14" s="1942"/>
      <c r="E14" s="1942"/>
      <c r="F14" s="1942"/>
      <c r="G14" s="1942"/>
      <c r="H14" s="1942"/>
      <c r="I14" s="1942"/>
      <c r="J14" s="1942"/>
      <c r="K14" s="1942"/>
      <c r="L14" s="1942"/>
      <c r="M14" s="2006"/>
      <c r="N14" s="1490"/>
      <c r="Q14" s="1607" t="s">
        <v>4328</v>
      </c>
      <c r="R14" s="1607"/>
      <c r="S14" s="1607" t="s">
        <v>6984</v>
      </c>
      <c r="T14" s="1489"/>
      <c r="U14" s="1607" t="s">
        <v>4227</v>
      </c>
      <c r="V14" s="1601"/>
      <c r="W14" s="1601"/>
    </row>
    <row r="15" spans="1:23" ht="20.25" customHeight="1" x14ac:dyDescent="0.25">
      <c r="A15" s="1974" t="s">
        <v>4360</v>
      </c>
      <c r="B15" s="1975"/>
      <c r="C15" s="1975"/>
      <c r="D15" s="1975"/>
      <c r="E15" s="1975"/>
      <c r="F15" s="1975"/>
      <c r="G15" s="1975"/>
      <c r="H15" s="1975"/>
      <c r="I15" s="1975"/>
      <c r="J15" s="1975"/>
      <c r="K15" s="1975"/>
      <c r="L15" s="1975"/>
      <c r="M15" s="1976"/>
      <c r="N15" s="1490"/>
      <c r="O15" s="1489"/>
      <c r="P15" s="1489"/>
      <c r="Q15" s="1489"/>
      <c r="R15" s="1489"/>
      <c r="S15" s="1607" t="s">
        <v>4362</v>
      </c>
      <c r="T15" s="1601"/>
      <c r="U15" s="1607" t="s">
        <v>4226</v>
      </c>
      <c r="V15" s="1601"/>
      <c r="W15" s="1601"/>
    </row>
    <row r="16" spans="1:23" ht="36.75" customHeight="1" x14ac:dyDescent="0.25">
      <c r="A16" s="1977" t="s">
        <v>6970</v>
      </c>
      <c r="B16" s="1978"/>
      <c r="C16" s="1978"/>
      <c r="D16" s="1978"/>
      <c r="E16" s="1978"/>
      <c r="F16" s="1978"/>
      <c r="G16" s="1978"/>
      <c r="H16" s="1978"/>
      <c r="I16" s="1978"/>
      <c r="J16" s="1978"/>
      <c r="K16" s="1978"/>
      <c r="L16" s="1978"/>
      <c r="M16" s="1979"/>
      <c r="N16" s="1490"/>
      <c r="O16" s="1489"/>
      <c r="P16" s="1489"/>
      <c r="Q16" s="1489"/>
      <c r="R16" s="1489"/>
      <c r="S16" s="1607" t="s">
        <v>4361</v>
      </c>
      <c r="T16" s="1601"/>
      <c r="U16" s="1607" t="s">
        <v>4225</v>
      </c>
      <c r="V16" s="1601"/>
      <c r="W16" s="1601"/>
    </row>
    <row r="17" spans="1:23" ht="22.5" customHeight="1" x14ac:dyDescent="0.25">
      <c r="A17" s="1954" t="s">
        <v>4359</v>
      </c>
      <c r="B17" s="1955"/>
      <c r="C17" s="1955"/>
      <c r="D17" s="1955"/>
      <c r="E17" s="1955"/>
      <c r="F17" s="1955"/>
      <c r="G17" s="1955"/>
      <c r="H17" s="1955"/>
      <c r="I17" s="1955"/>
      <c r="J17" s="1955"/>
      <c r="K17" s="1955"/>
      <c r="L17" s="1955"/>
      <c r="M17" s="1956"/>
      <c r="N17" s="1490"/>
      <c r="O17" s="1489"/>
      <c r="P17" s="1489"/>
      <c r="Q17" s="1489"/>
      <c r="R17" s="1489"/>
      <c r="S17" s="1489"/>
      <c r="T17" s="1601"/>
      <c r="U17" s="1607" t="s">
        <v>4224</v>
      </c>
      <c r="V17" s="1601"/>
      <c r="W17" s="1601"/>
    </row>
    <row r="18" spans="1:23" ht="15" customHeight="1" x14ac:dyDescent="0.25">
      <c r="A18" s="2009" t="s">
        <v>6985</v>
      </c>
      <c r="B18" s="2010"/>
      <c r="C18" s="2010"/>
      <c r="D18" s="2010"/>
      <c r="E18" s="1889" t="s">
        <v>4358</v>
      </c>
      <c r="F18" s="1544" t="s">
        <v>4357</v>
      </c>
      <c r="G18" s="1574">
        <f>IF(Cover!H13=0,"",VLOOKUP($O$1,'FY23 Data for FY24 Plan'!$A$3:$BC$929,3,FALSE))</f>
        <v>750.55</v>
      </c>
      <c r="H18" s="2050" t="s">
        <v>4356</v>
      </c>
      <c r="I18" s="2051"/>
      <c r="J18" s="1937">
        <f>IF(Cover!H13=0,"",VLOOKUP($O$1,'FY23 Data for FY24 Plan'!$A$3:$BC$929,4,FALSE))</f>
        <v>11470833.48</v>
      </c>
      <c r="K18" s="1938"/>
      <c r="L18" s="1526"/>
      <c r="M18" s="1525"/>
      <c r="N18" s="1490"/>
      <c r="O18" s="1489"/>
      <c r="P18" s="1489"/>
      <c r="Q18" s="1489"/>
      <c r="R18" s="1489"/>
      <c r="S18" s="1489"/>
      <c r="T18" s="1601"/>
      <c r="U18" s="1607" t="s">
        <v>4223</v>
      </c>
      <c r="V18" s="1601"/>
      <c r="W18" s="1601"/>
    </row>
    <row r="19" spans="1:23" x14ac:dyDescent="0.25">
      <c r="A19" s="2011"/>
      <c r="B19" s="2012"/>
      <c r="C19" s="2012"/>
      <c r="D19" s="2012"/>
      <c r="E19" s="1890"/>
      <c r="F19" s="1891"/>
      <c r="G19" s="1891"/>
      <c r="H19" s="1891"/>
      <c r="I19" s="1891"/>
      <c r="J19" s="1891"/>
      <c r="K19" s="1892"/>
      <c r="L19" s="1595"/>
      <c r="M19" s="1595"/>
      <c r="N19" s="1490"/>
      <c r="O19" s="1489"/>
      <c r="P19" s="1489"/>
      <c r="Q19" s="1489"/>
      <c r="R19" s="1489"/>
      <c r="S19" s="1489"/>
      <c r="T19" s="1601"/>
      <c r="U19" s="1607" t="s">
        <v>4222</v>
      </c>
      <c r="V19" s="1601"/>
      <c r="W19" s="1601"/>
    </row>
    <row r="20" spans="1:23" x14ac:dyDescent="0.25">
      <c r="A20" s="2011"/>
      <c r="B20" s="2012"/>
      <c r="C20" s="2012"/>
      <c r="D20" s="2012"/>
      <c r="E20" s="1890"/>
      <c r="F20" s="1544" t="s">
        <v>4246</v>
      </c>
      <c r="G20" s="1522">
        <f>IF(Cover!H13=0,"",VLOOKUP($O$1,'FY23 Data for FY24 Plan'!$A$3:$BC$929,5,FALSE))</f>
        <v>7452542.75</v>
      </c>
      <c r="H20" s="1907" t="s">
        <v>4355</v>
      </c>
      <c r="I20" s="1908"/>
      <c r="J20" s="1935">
        <f>IF(Cover!H13=0,"",VLOOKUP($O$1,'FY23 Data for FY24 Plan'!$A$3:$BC$929,6,FALSE))</f>
        <v>0.649694964449959</v>
      </c>
      <c r="K20" s="1936"/>
      <c r="L20" s="1530"/>
      <c r="M20" s="1529"/>
      <c r="N20" s="1490"/>
      <c r="O20" s="1489"/>
      <c r="P20" s="1489"/>
      <c r="Q20" s="1489"/>
      <c r="R20" s="1489"/>
      <c r="S20" s="1489"/>
      <c r="T20" s="1601"/>
      <c r="U20" s="1607" t="s">
        <v>4221</v>
      </c>
      <c r="V20" s="1601"/>
      <c r="W20" s="1601"/>
    </row>
    <row r="21" spans="1:23" x14ac:dyDescent="0.25">
      <c r="A21" s="2011"/>
      <c r="B21" s="2012"/>
      <c r="C21" s="2012"/>
      <c r="D21" s="2012"/>
      <c r="E21" s="1890"/>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2011"/>
      <c r="B22" s="2012"/>
      <c r="C22" s="2012"/>
      <c r="D22" s="2012"/>
      <c r="E22" s="1889" t="s">
        <v>7227</v>
      </c>
      <c r="F22" s="1544" t="s">
        <v>4244</v>
      </c>
      <c r="G22" s="1528">
        <f>IF(Cover!H13=0,"",VLOOKUP($O$1,'FY23 Data for FY24 Plan'!$A$3:$BC$929,7,FALSE))</f>
        <v>1</v>
      </c>
      <c r="H22" s="1907" t="s">
        <v>4354</v>
      </c>
      <c r="I22" s="1908"/>
      <c r="J22" s="1937">
        <f>IF(Cover!H13=0,"",VLOOKUP($O$1,'FY23 Data for FY24 Plan'!$A$3:$BC$929,10,FALSE))</f>
        <v>3107519.4799999995</v>
      </c>
      <c r="K22" s="1938"/>
      <c r="L22" s="1526"/>
      <c r="M22" s="1527"/>
      <c r="N22" s="1490"/>
      <c r="O22" s="1489"/>
      <c r="P22" s="1489"/>
      <c r="Q22" s="1489"/>
      <c r="R22" s="1489"/>
      <c r="S22" s="1489"/>
      <c r="T22" s="1601"/>
      <c r="U22" s="1607" t="s">
        <v>4219</v>
      </c>
      <c r="V22" s="1601"/>
      <c r="W22" s="1601"/>
    </row>
    <row r="23" spans="1:23" x14ac:dyDescent="0.25">
      <c r="A23" s="2011"/>
      <c r="B23" s="2012"/>
      <c r="C23" s="2012"/>
      <c r="D23" s="2012"/>
      <c r="E23" s="1890"/>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2011"/>
      <c r="B24" s="2012"/>
      <c r="C24" s="2012"/>
      <c r="D24" s="2012"/>
      <c r="E24" s="1890"/>
      <c r="F24" s="1544" t="s">
        <v>4353</v>
      </c>
      <c r="G24" s="1522">
        <f>IF(Cover!H13=0,"",VLOOKUP($O$1,'FY23 Data for FY24 Plan'!$A$3:$BC$929,9,FALSE))</f>
        <v>2725835.0199999996</v>
      </c>
      <c r="H24" s="1939" t="s">
        <v>6971</v>
      </c>
      <c r="I24" s="1940"/>
      <c r="J24" s="1937">
        <f>IF(Cover!H13=0,"",VLOOKUP($O$1,'FY23 Data for FY24 Plan'!$A$3:$BC$929,8,FALSE))</f>
        <v>381684.46</v>
      </c>
      <c r="K24" s="1938"/>
      <c r="L24" s="1526"/>
      <c r="M24" s="1525"/>
      <c r="N24" s="1490"/>
      <c r="O24" s="1489"/>
      <c r="P24" s="1489"/>
      <c r="Q24" s="1489"/>
      <c r="R24" s="1489"/>
      <c r="S24" s="1489"/>
      <c r="T24" s="1601"/>
      <c r="U24" s="1607" t="s">
        <v>4306</v>
      </c>
      <c r="V24" s="1601"/>
      <c r="W24" s="1601"/>
    </row>
    <row r="25" spans="1:23" x14ac:dyDescent="0.25">
      <c r="A25" s="2011"/>
      <c r="B25" s="2012"/>
      <c r="C25" s="2012"/>
      <c r="D25" s="2012"/>
      <c r="E25" s="1890"/>
      <c r="F25" s="1612"/>
      <c r="G25" s="1612"/>
      <c r="H25" s="1987"/>
      <c r="I25" s="1988"/>
      <c r="J25" s="1985"/>
      <c r="K25" s="1986"/>
      <c r="L25" s="1524"/>
      <c r="M25" s="1523"/>
      <c r="N25" s="1490"/>
      <c r="O25" s="1489"/>
      <c r="P25" s="1489"/>
      <c r="Q25" s="1489"/>
      <c r="R25" s="1489"/>
      <c r="S25" s="1489"/>
      <c r="T25" s="1601"/>
      <c r="U25" s="1607" t="s">
        <v>4304</v>
      </c>
      <c r="V25" s="1601"/>
      <c r="W25" s="1601"/>
    </row>
    <row r="26" spans="1:23" ht="15" customHeight="1" x14ac:dyDescent="0.25">
      <c r="A26" s="2011"/>
      <c r="B26" s="2012"/>
      <c r="C26" s="2012"/>
      <c r="D26" s="2012"/>
      <c r="E26" s="1889" t="s">
        <v>6975</v>
      </c>
      <c r="F26" s="1544" t="s">
        <v>6997</v>
      </c>
      <c r="G26" s="1522">
        <f>IF(Cover!H13=0,"",VLOOKUP(O1,'FY23 Data for FY24 Plan'!$A$3:$BC$929,53,FALSE))</f>
        <v>721960.94</v>
      </c>
      <c r="H26" s="1521"/>
      <c r="I26" s="1521"/>
      <c r="J26" s="1521"/>
      <c r="K26" s="1521"/>
      <c r="L26" s="1613"/>
      <c r="M26" s="1595"/>
      <c r="N26" s="1490"/>
      <c r="O26" s="1489"/>
      <c r="P26" s="1489"/>
      <c r="Q26" s="1489"/>
      <c r="R26" s="1489"/>
      <c r="S26" s="1489"/>
      <c r="T26" s="1601"/>
      <c r="U26" s="1607" t="s">
        <v>4305</v>
      </c>
      <c r="V26" s="1601"/>
      <c r="W26" s="1601"/>
    </row>
    <row r="27" spans="1:23" x14ac:dyDescent="0.25">
      <c r="A27" s="2011"/>
      <c r="B27" s="2012"/>
      <c r="C27" s="2012"/>
      <c r="D27" s="2012"/>
      <c r="E27" s="1890"/>
      <c r="F27" s="1544" t="s">
        <v>4352</v>
      </c>
      <c r="G27" s="1522">
        <f>IF(Cover!H13=0,"",VLOOKUP(O1,'FY23 Data for FY24 Plan'!$A$3:$BC$929,54,FALSE))</f>
        <v>35651.42</v>
      </c>
      <c r="H27" s="1521"/>
      <c r="I27" s="1613"/>
      <c r="J27" s="1613"/>
      <c r="K27" s="1595"/>
      <c r="L27" s="1595"/>
      <c r="M27" s="1595"/>
      <c r="N27" s="1490"/>
      <c r="O27" s="1489"/>
      <c r="P27" s="1489"/>
      <c r="Q27" s="1489"/>
      <c r="R27" s="1489"/>
      <c r="S27" s="1489"/>
      <c r="T27" s="1601"/>
      <c r="U27" s="1607" t="s">
        <v>4303</v>
      </c>
      <c r="V27" s="1601"/>
      <c r="W27" s="1601"/>
    </row>
    <row r="28" spans="1:23" x14ac:dyDescent="0.25">
      <c r="A28" s="2011"/>
      <c r="B28" s="2012"/>
      <c r="C28" s="2012"/>
      <c r="D28" s="2012"/>
      <c r="E28" s="1890"/>
      <c r="F28" s="1544" t="s">
        <v>4308</v>
      </c>
      <c r="G28" s="1522">
        <f>IF(Cover!H13=0,"",VLOOKUP($O$1,'FY23 Data for FY24 Plan'!$A$3:$BC$929,55,FALSE))</f>
        <v>379298.36</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82"/>
      <c r="B29" s="1983"/>
      <c r="C29" s="1983"/>
      <c r="D29" s="1983"/>
      <c r="E29" s="1983"/>
      <c r="F29" s="1983"/>
      <c r="G29" s="1983"/>
      <c r="H29" s="1983"/>
      <c r="I29" s="1983"/>
      <c r="J29" s="1983"/>
      <c r="K29" s="1983"/>
      <c r="L29" s="1983"/>
      <c r="M29" s="1984"/>
      <c r="N29" s="1490"/>
      <c r="O29" s="1489"/>
      <c r="P29" s="1489"/>
      <c r="Q29" s="1489"/>
      <c r="R29" s="1489"/>
      <c r="S29" s="1489"/>
      <c r="T29" s="1601"/>
      <c r="U29" s="1607" t="s">
        <v>4209</v>
      </c>
      <c r="V29" s="1601"/>
      <c r="W29" s="1601"/>
    </row>
    <row r="30" spans="1:23" ht="34.5" customHeight="1" x14ac:dyDescent="0.25">
      <c r="A30" s="1932"/>
      <c r="B30" s="1933"/>
      <c r="C30" s="1933"/>
      <c r="D30" s="1933"/>
      <c r="E30" s="1933"/>
      <c r="F30" s="1934"/>
      <c r="G30" s="1600" t="s">
        <v>6973</v>
      </c>
      <c r="H30" s="1600" t="s">
        <v>6974</v>
      </c>
      <c r="I30" s="1926" t="s">
        <v>6972</v>
      </c>
      <c r="J30" s="1927"/>
      <c r="K30" s="1927"/>
      <c r="L30" s="1927"/>
      <c r="M30" s="1928"/>
      <c r="N30" s="1490"/>
      <c r="O30" s="1496"/>
      <c r="P30" s="1489"/>
      <c r="Q30" s="1489"/>
      <c r="R30" s="1489"/>
      <c r="S30" s="1489"/>
      <c r="T30" s="1601"/>
      <c r="U30" s="1607" t="s">
        <v>4208</v>
      </c>
      <c r="V30" s="1601"/>
      <c r="W30" s="1601"/>
    </row>
    <row r="31" spans="1:23" ht="22.5" customHeight="1" x14ac:dyDescent="0.25">
      <c r="A31" s="1967" t="s">
        <v>4310</v>
      </c>
      <c r="B31" s="1913" t="s">
        <v>7228</v>
      </c>
      <c r="C31" s="1913"/>
      <c r="D31" s="1913"/>
      <c r="E31" s="1913"/>
      <c r="F31" s="1914"/>
      <c r="G31" s="1919">
        <v>495105</v>
      </c>
      <c r="H31" s="1921" t="s">
        <v>6977</v>
      </c>
      <c r="I31" s="1929"/>
      <c r="J31" s="1930"/>
      <c r="K31" s="1930"/>
      <c r="L31" s="1930"/>
      <c r="M31" s="1931"/>
      <c r="N31" s="1490">
        <f>IF(AND(ISNUMBER(G31),H31&lt;&gt;0),1,0)</f>
        <v>1</v>
      </c>
      <c r="O31" s="1489"/>
      <c r="P31" s="1489"/>
      <c r="Q31" s="1489"/>
      <c r="R31" s="1489"/>
      <c r="S31" s="1489"/>
      <c r="T31" s="1489"/>
      <c r="U31" s="1607" t="s">
        <v>4207</v>
      </c>
      <c r="V31" s="1601"/>
      <c r="W31" s="1601"/>
    </row>
    <row r="32" spans="1:23" ht="22.5" customHeight="1" x14ac:dyDescent="0.25">
      <c r="A32" s="1967"/>
      <c r="B32" s="1915"/>
      <c r="C32" s="1915"/>
      <c r="D32" s="1915"/>
      <c r="E32" s="1915"/>
      <c r="F32" s="1916"/>
      <c r="G32" s="1920"/>
      <c r="H32" s="1922"/>
      <c r="I32" s="1929"/>
      <c r="J32" s="1930"/>
      <c r="K32" s="1930"/>
      <c r="L32" s="1930"/>
      <c r="M32" s="1931"/>
      <c r="N32" s="1490"/>
      <c r="O32" s="1489"/>
      <c r="P32" s="1489"/>
      <c r="Q32" s="1489"/>
      <c r="R32" s="1489"/>
      <c r="S32" s="1489"/>
      <c r="T32" s="1489"/>
      <c r="U32" s="1607" t="s">
        <v>4206</v>
      </c>
      <c r="V32" s="1601"/>
      <c r="W32" s="1601"/>
    </row>
    <row r="33" spans="1:23" ht="30.75" customHeight="1" x14ac:dyDescent="0.25">
      <c r="A33" s="1967"/>
      <c r="B33" s="1917"/>
      <c r="C33" s="1917"/>
      <c r="D33" s="1917"/>
      <c r="E33" s="1917"/>
      <c r="F33" s="1918"/>
      <c r="G33" s="1923"/>
      <c r="H33" s="1924"/>
      <c r="I33" s="1924"/>
      <c r="J33" s="1924"/>
      <c r="K33" s="1924"/>
      <c r="L33" s="1924"/>
      <c r="M33" s="1925"/>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2016" t="s">
        <v>4351</v>
      </c>
      <c r="H34" s="2018"/>
      <c r="I34" s="2016" t="s">
        <v>4350</v>
      </c>
      <c r="J34" s="2042"/>
      <c r="K34" s="2043"/>
      <c r="L34" s="2044" t="s">
        <v>4349</v>
      </c>
      <c r="M34" s="2045"/>
      <c r="N34" s="1490"/>
      <c r="O34" s="1489"/>
      <c r="P34" s="1489"/>
      <c r="Q34" s="1489"/>
      <c r="R34" s="1489"/>
      <c r="S34" s="1489"/>
      <c r="T34" s="1489"/>
      <c r="U34" s="1607" t="s">
        <v>4204</v>
      </c>
      <c r="V34" s="1601"/>
      <c r="W34" s="1601"/>
    </row>
    <row r="35" spans="1:23" ht="63.75" customHeight="1" x14ac:dyDescent="0.25">
      <c r="A35" s="1519" t="s">
        <v>4307</v>
      </c>
      <c r="B35" s="1944" t="s">
        <v>4348</v>
      </c>
      <c r="C35" s="1944"/>
      <c r="D35" s="1944"/>
      <c r="E35" s="1944"/>
      <c r="F35" s="1944"/>
      <c r="G35" s="1945" t="s">
        <v>6979</v>
      </c>
      <c r="H35" s="1981"/>
      <c r="I35" s="1945" t="s">
        <v>6980</v>
      </c>
      <c r="J35" s="1980"/>
      <c r="K35" s="1981"/>
      <c r="L35" s="1945" t="s">
        <v>6982</v>
      </c>
      <c r="M35" s="1946"/>
      <c r="N35" s="1490">
        <f>IF(OR(G35="",I35="",L35=""),0,IF(OR(G35=I35,G35=L35,I35=L35),0,1))</f>
        <v>1</v>
      </c>
      <c r="O35" s="1496"/>
      <c r="P35" s="1489"/>
      <c r="Q35" s="1489"/>
      <c r="R35" s="1489"/>
      <c r="S35" s="1489"/>
      <c r="T35" s="1601"/>
      <c r="U35" s="1607" t="s">
        <v>4203</v>
      </c>
      <c r="V35" s="1601"/>
      <c r="W35" s="1601"/>
    </row>
    <row r="36" spans="1:23" ht="6" customHeight="1" x14ac:dyDescent="0.25">
      <c r="A36" s="1854"/>
      <c r="B36" s="1943"/>
      <c r="C36" s="1943"/>
      <c r="D36" s="1943"/>
      <c r="E36" s="1943"/>
      <c r="F36" s="1943"/>
      <c r="G36" s="1855"/>
      <c r="H36" s="1855"/>
      <c r="I36" s="1855"/>
      <c r="J36" s="1855"/>
      <c r="K36" s="1855"/>
      <c r="L36" s="1856"/>
      <c r="M36" s="1857"/>
      <c r="N36" s="1490"/>
      <c r="O36" s="1496"/>
      <c r="P36" s="1489"/>
      <c r="Q36" s="1489"/>
      <c r="R36" s="1489"/>
      <c r="S36" s="1489"/>
      <c r="T36" s="1601"/>
      <c r="U36" s="1607" t="s">
        <v>4328</v>
      </c>
      <c r="V36" s="1601"/>
      <c r="W36" s="1601"/>
    </row>
    <row r="37" spans="1:23" ht="31.5" customHeight="1" x14ac:dyDescent="0.25">
      <c r="A37" s="1989" t="s">
        <v>4301</v>
      </c>
      <c r="B37" s="1992" t="s">
        <v>4345</v>
      </c>
      <c r="C37" s="1993"/>
      <c r="D37" s="1993"/>
      <c r="E37" s="1993"/>
      <c r="F37" s="1994"/>
      <c r="G37" s="1545" t="s">
        <v>4344</v>
      </c>
      <c r="H37" s="1555" t="s">
        <v>4333</v>
      </c>
      <c r="I37" s="2007" t="s">
        <v>4343</v>
      </c>
      <c r="J37" s="2008"/>
      <c r="K37" s="1555" t="s">
        <v>4333</v>
      </c>
      <c r="L37" s="1545" t="s">
        <v>4342</v>
      </c>
      <c r="M37" s="1556" t="s">
        <v>4333</v>
      </c>
      <c r="N37" s="1490">
        <f>IF(COUNTIF(H37:M40,"Yes"),1,0)</f>
        <v>1</v>
      </c>
      <c r="O37" s="1496"/>
      <c r="P37" s="1489"/>
      <c r="Q37" s="1489"/>
      <c r="R37" s="1489"/>
      <c r="S37" s="1489"/>
    </row>
    <row r="38" spans="1:23" ht="31.5" customHeight="1" x14ac:dyDescent="0.25">
      <c r="A38" s="1990"/>
      <c r="B38" s="1995"/>
      <c r="C38" s="1996"/>
      <c r="D38" s="1996"/>
      <c r="E38" s="1996"/>
      <c r="F38" s="1997"/>
      <c r="G38" s="1545" t="s">
        <v>4341</v>
      </c>
      <c r="H38" s="1555" t="s">
        <v>4333</v>
      </c>
      <c r="I38" s="2007" t="s">
        <v>4340</v>
      </c>
      <c r="J38" s="2008"/>
      <c r="K38" s="1555" t="s">
        <v>4333</v>
      </c>
      <c r="L38" s="1546" t="s">
        <v>4339</v>
      </c>
      <c r="M38" s="1556"/>
      <c r="N38" s="1490"/>
      <c r="O38" s="1489"/>
      <c r="P38" s="1489"/>
      <c r="Q38" s="1489"/>
      <c r="R38" s="1489"/>
      <c r="S38" s="1489"/>
    </row>
    <row r="39" spans="1:23" ht="31.5" customHeight="1" x14ac:dyDescent="0.25">
      <c r="A39" s="1990"/>
      <c r="B39" s="1995"/>
      <c r="C39" s="1996"/>
      <c r="D39" s="1996"/>
      <c r="E39" s="1996"/>
      <c r="F39" s="1997"/>
      <c r="G39" s="1545" t="s">
        <v>4338</v>
      </c>
      <c r="H39" s="1555"/>
      <c r="I39" s="2007" t="s">
        <v>4337</v>
      </c>
      <c r="J39" s="2008"/>
      <c r="K39" s="1555" t="s">
        <v>4333</v>
      </c>
      <c r="L39" s="1545" t="s">
        <v>4336</v>
      </c>
      <c r="M39" s="1556"/>
      <c r="N39" s="1490"/>
      <c r="O39" s="1496"/>
      <c r="P39" s="1489"/>
      <c r="Q39" s="1489"/>
      <c r="R39" s="1489"/>
      <c r="S39" s="1489"/>
    </row>
    <row r="40" spans="1:23" ht="31.5" customHeight="1" x14ac:dyDescent="0.25">
      <c r="A40" s="1991"/>
      <c r="B40" s="1998"/>
      <c r="C40" s="1999"/>
      <c r="D40" s="1999"/>
      <c r="E40" s="1999"/>
      <c r="F40" s="2000"/>
      <c r="G40" s="1545" t="s">
        <v>4335</v>
      </c>
      <c r="H40" s="1555"/>
      <c r="I40" s="2007" t="s">
        <v>4334</v>
      </c>
      <c r="J40" s="2008"/>
      <c r="K40" s="1555"/>
      <c r="L40" s="1546" t="s">
        <v>4328</v>
      </c>
      <c r="M40" s="1556"/>
      <c r="N40" s="1490"/>
      <c r="O40" s="1496"/>
      <c r="P40" s="1489"/>
      <c r="Q40" s="1489"/>
      <c r="R40" s="1489"/>
      <c r="S40" s="1489"/>
    </row>
    <row r="41" spans="1:23" ht="103.5" customHeight="1" x14ac:dyDescent="0.25">
      <c r="A41" s="1560"/>
      <c r="B41" s="2047" t="s">
        <v>4332</v>
      </c>
      <c r="C41" s="2047"/>
      <c r="D41" s="2047"/>
      <c r="E41" s="2047"/>
      <c r="F41" s="2047"/>
      <c r="G41" s="1893"/>
      <c r="H41" s="1893"/>
      <c r="I41" s="1893"/>
      <c r="J41" s="1893"/>
      <c r="K41" s="1893"/>
      <c r="L41" s="1894"/>
      <c r="M41" s="1895"/>
      <c r="N41" s="1490"/>
      <c r="O41" s="1496"/>
      <c r="P41" s="1489"/>
      <c r="Q41" s="1496"/>
      <c r="R41" s="1496"/>
      <c r="S41" s="1496"/>
      <c r="T41" s="1496"/>
    </row>
    <row r="42" spans="1:23" ht="28.5" customHeight="1" x14ac:dyDescent="0.25">
      <c r="A42" s="1542"/>
      <c r="B42" s="1540"/>
      <c r="C42" s="1540"/>
      <c r="D42" s="1540"/>
      <c r="E42" s="1540"/>
      <c r="F42" s="1540"/>
      <c r="G42" s="2016" t="s">
        <v>4331</v>
      </c>
      <c r="H42" s="2018"/>
      <c r="I42" s="2016" t="s">
        <v>4330</v>
      </c>
      <c r="J42" s="2017"/>
      <c r="K42" s="2018"/>
      <c r="L42" s="2016" t="s">
        <v>4329</v>
      </c>
      <c r="M42" s="2041"/>
      <c r="N42" s="1490"/>
      <c r="O42" s="1489"/>
      <c r="P42" s="1489"/>
      <c r="Q42" s="1496"/>
      <c r="R42" s="1496"/>
      <c r="S42" s="1489"/>
      <c r="T42" s="1496"/>
    </row>
    <row r="43" spans="1:23" ht="78" customHeight="1" x14ac:dyDescent="0.25">
      <c r="A43" s="1520" t="s">
        <v>4295</v>
      </c>
      <c r="B43" s="1995" t="s">
        <v>6986</v>
      </c>
      <c r="C43" s="1996"/>
      <c r="D43" s="1996"/>
      <c r="E43" s="1996"/>
      <c r="F43" s="1997"/>
      <c r="G43" s="1945" t="s">
        <v>4225</v>
      </c>
      <c r="H43" s="1981"/>
      <c r="I43" s="1945" t="s">
        <v>4224</v>
      </c>
      <c r="J43" s="1980"/>
      <c r="K43" s="1981"/>
      <c r="L43" s="1945" t="s">
        <v>6988</v>
      </c>
      <c r="M43" s="1946"/>
      <c r="N43" s="1490">
        <f>IF(OR(G43="",I43="",L43=""),0,IF(OR(G43="Other",I43="Other"),1,IF(OR(G43=I43,G43=L43,I43=L43),0,1)))</f>
        <v>1</v>
      </c>
      <c r="O43" s="1496"/>
      <c r="P43" s="1489"/>
      <c r="Q43" s="1489"/>
      <c r="R43" s="1489"/>
      <c r="S43" s="1489"/>
    </row>
    <row r="44" spans="1:23" ht="32.25" customHeight="1" x14ac:dyDescent="0.25">
      <c r="A44" s="1541"/>
      <c r="B44" s="1896" t="s">
        <v>6989</v>
      </c>
      <c r="C44" s="1897"/>
      <c r="D44" s="1897"/>
      <c r="E44" s="1897"/>
      <c r="F44" s="1898"/>
      <c r="G44" s="1902"/>
      <c r="H44" s="1903"/>
      <c r="I44" s="1903"/>
      <c r="J44" s="1903"/>
      <c r="K44" s="1903"/>
      <c r="L44" s="1903"/>
      <c r="M44" s="1904"/>
      <c r="N44" s="1490">
        <f>IF(B45="",1,IF(AND(B45="Required",LEN(G44)&gt;10),1,0))</f>
        <v>1</v>
      </c>
      <c r="O44" s="1496"/>
      <c r="P44" s="1489"/>
      <c r="Q44" s="1489"/>
      <c r="R44" s="1489"/>
      <c r="S44" s="1489"/>
    </row>
    <row r="45" spans="1:23" ht="70.5" customHeight="1" x14ac:dyDescent="0.25">
      <c r="A45" s="1541"/>
      <c r="B45" s="1899" t="str">
        <f>IF(COUNTIF(G43:L43,"Other"), "Required","")</f>
        <v/>
      </c>
      <c r="C45" s="1900"/>
      <c r="D45" s="1900"/>
      <c r="E45" s="1900"/>
      <c r="F45" s="1901"/>
      <c r="G45" s="1905"/>
      <c r="H45" s="1905"/>
      <c r="I45" s="1905"/>
      <c r="J45" s="1905"/>
      <c r="K45" s="1905"/>
      <c r="L45" s="1905"/>
      <c r="M45" s="1906"/>
      <c r="N45" s="1490"/>
      <c r="O45" s="1489"/>
      <c r="P45" s="1489"/>
      <c r="Q45" s="1489"/>
      <c r="R45" s="1489"/>
      <c r="S45" s="1489"/>
    </row>
    <row r="46" spans="1:23" ht="6" customHeight="1" x14ac:dyDescent="0.25">
      <c r="A46" s="1941"/>
      <c r="B46" s="1942"/>
      <c r="C46" s="1942"/>
      <c r="D46" s="1942"/>
      <c r="E46" s="1942"/>
      <c r="F46" s="1942"/>
      <c r="G46" s="1859"/>
      <c r="H46" s="1859"/>
      <c r="I46" s="1859"/>
      <c r="J46" s="1859"/>
      <c r="K46" s="1859"/>
      <c r="L46" s="1859"/>
      <c r="M46" s="1860"/>
      <c r="N46" s="1490"/>
      <c r="O46" s="1489"/>
      <c r="P46" s="1489"/>
      <c r="Q46" s="1489"/>
      <c r="R46" s="1489"/>
      <c r="S46" s="1489"/>
    </row>
    <row r="47" spans="1:23" ht="13.5" customHeight="1" x14ac:dyDescent="0.25">
      <c r="A47" s="1598"/>
      <c r="B47" s="1947" t="s">
        <v>4327</v>
      </c>
      <c r="C47" s="1947"/>
      <c r="D47" s="1947"/>
      <c r="E47" s="1947"/>
      <c r="F47" s="1947"/>
      <c r="G47" s="1947"/>
      <c r="H47" s="1947"/>
      <c r="I47" s="1947"/>
      <c r="J47" s="1947"/>
      <c r="K47" s="1947"/>
      <c r="L47" s="1947"/>
      <c r="M47" s="1948"/>
      <c r="N47" s="1490"/>
      <c r="O47" s="1489"/>
      <c r="P47" s="1489"/>
      <c r="Q47" s="1489"/>
      <c r="R47" s="1489"/>
      <c r="S47" s="1489"/>
    </row>
    <row r="48" spans="1:23" ht="189" customHeight="1" x14ac:dyDescent="0.25">
      <c r="A48" s="1519" t="s">
        <v>4326</v>
      </c>
      <c r="B48" s="1995" t="s">
        <v>7236</v>
      </c>
      <c r="C48" s="1996"/>
      <c r="D48" s="1996"/>
      <c r="E48" s="1996"/>
      <c r="F48" s="1996"/>
      <c r="G48" s="1996"/>
      <c r="H48" s="1996"/>
      <c r="I48" s="1996"/>
      <c r="J48" s="1996"/>
      <c r="K48" s="1996"/>
      <c r="L48" s="1996"/>
      <c r="M48" s="2046"/>
      <c r="N48" s="1490"/>
      <c r="O48" s="1489"/>
      <c r="P48" s="1489"/>
      <c r="Q48" s="1489"/>
      <c r="R48" s="1489"/>
      <c r="S48" s="1489"/>
    </row>
    <row r="49" spans="1:19" ht="48.75" customHeight="1" x14ac:dyDescent="0.25">
      <c r="A49" s="1848" t="s">
        <v>4325</v>
      </c>
      <c r="B49" s="1849"/>
      <c r="C49" s="1849"/>
      <c r="D49" s="1849"/>
      <c r="E49" s="1850"/>
      <c r="F49" s="1839" t="s">
        <v>6993</v>
      </c>
      <c r="G49" s="1909" t="s">
        <v>6994</v>
      </c>
      <c r="H49" s="1911" t="s">
        <v>6995</v>
      </c>
      <c r="I49" s="1839" t="s">
        <v>4324</v>
      </c>
      <c r="J49" s="1840"/>
      <c r="K49" s="1840"/>
      <c r="L49" s="1840"/>
      <c r="M49" s="1841"/>
      <c r="N49" s="1490"/>
      <c r="O49" s="1489"/>
      <c r="P49" s="1489"/>
      <c r="Q49" s="1489"/>
      <c r="R49" s="1489"/>
      <c r="S49" s="1489"/>
    </row>
    <row r="50" spans="1:19" ht="7.5" customHeight="1" x14ac:dyDescent="0.25">
      <c r="A50" s="1851"/>
      <c r="B50" s="1852"/>
      <c r="C50" s="1852"/>
      <c r="D50" s="1852"/>
      <c r="E50" s="1853"/>
      <c r="F50" s="1842"/>
      <c r="G50" s="1910"/>
      <c r="H50" s="1912"/>
      <c r="I50" s="1842"/>
      <c r="J50" s="1843"/>
      <c r="K50" s="1843"/>
      <c r="L50" s="1843"/>
      <c r="M50" s="1844"/>
      <c r="N50" s="1490"/>
      <c r="O50" s="1489"/>
      <c r="P50" s="1489"/>
      <c r="Q50" s="1489"/>
      <c r="R50" s="1489"/>
      <c r="S50" s="1489"/>
    </row>
    <row r="51" spans="1:19" ht="15.75" customHeight="1" thickBot="1" x14ac:dyDescent="0.3">
      <c r="A51" s="1851"/>
      <c r="B51" s="1852"/>
      <c r="C51" s="1852"/>
      <c r="D51" s="1852"/>
      <c r="E51" s="1853"/>
      <c r="F51" s="1547"/>
      <c r="G51" s="1548" t="str">
        <f>IF(G31=0,"[N/A]",IF(G31&gt;=5000,"[Required]","[Optional]"))</f>
        <v>[Required]</v>
      </c>
      <c r="H51" s="1548" t="s">
        <v>4323</v>
      </c>
      <c r="I51" s="1845"/>
      <c r="J51" s="1846"/>
      <c r="K51" s="1846"/>
      <c r="L51" s="1846"/>
      <c r="M51" s="1847"/>
      <c r="N51" s="1490"/>
      <c r="O51" s="1489"/>
      <c r="P51" s="1489"/>
      <c r="Q51" s="1489"/>
      <c r="R51" s="1489"/>
      <c r="S51" s="1489"/>
    </row>
    <row r="52" spans="1:19" x14ac:dyDescent="0.25">
      <c r="A52" s="1830" t="s">
        <v>4322</v>
      </c>
      <c r="B52" s="1831"/>
      <c r="C52" s="1831"/>
      <c r="D52" s="1832"/>
      <c r="E52" s="1569" t="s">
        <v>4239</v>
      </c>
      <c r="F52" s="1621">
        <f>IF(Cover!H13=0,"",VLOOKUP($O$1,'FY23 Data for FY24 Plan'!$A$3:$BC$929,12,FALSE))</f>
        <v>2731819.53</v>
      </c>
      <c r="G52" s="1622">
        <v>40981</v>
      </c>
      <c r="H52" s="1622"/>
      <c r="I52" s="1821" t="s">
        <v>4321</v>
      </c>
      <c r="J52" s="1821"/>
      <c r="K52" s="1821"/>
      <c r="L52" s="1822"/>
      <c r="M52" s="1823"/>
      <c r="N52" s="1490"/>
      <c r="O52" s="1489"/>
      <c r="P52" s="1489"/>
      <c r="Q52" s="1489"/>
      <c r="R52" s="1489"/>
      <c r="S52" s="1489"/>
    </row>
    <row r="53" spans="1:19" x14ac:dyDescent="0.25">
      <c r="A53" s="1833"/>
      <c r="B53" s="1834"/>
      <c r="C53" s="1834"/>
      <c r="D53" s="1835"/>
      <c r="E53" s="1609" t="s">
        <v>6987</v>
      </c>
      <c r="F53" s="1621">
        <f>IF(Cover!H13=0,"",VLOOKUP($O$1,'FY23 Data for FY24 Plan'!$A$3:$BC$929,13,FALSE))</f>
        <v>546363.9</v>
      </c>
      <c r="G53" s="1622"/>
      <c r="H53" s="1622"/>
      <c r="I53" s="1824"/>
      <c r="J53" s="1824"/>
      <c r="K53" s="1824"/>
      <c r="L53" s="1825"/>
      <c r="M53" s="1826"/>
      <c r="N53" s="1490"/>
      <c r="O53" s="1489"/>
      <c r="P53" s="1489"/>
      <c r="Q53" s="1489"/>
      <c r="R53" s="1489"/>
      <c r="S53" s="1489"/>
    </row>
    <row r="54" spans="1:19" x14ac:dyDescent="0.25">
      <c r="A54" s="1833"/>
      <c r="B54" s="1834"/>
      <c r="C54" s="1834"/>
      <c r="D54" s="1835"/>
      <c r="E54" s="1569" t="s">
        <v>4237</v>
      </c>
      <c r="F54" s="1621">
        <f>IF(Cover!H13=0,"",VLOOKUP($O$1,'FY23 Data for FY24 Plan'!$A$3:$BC$929,14,FALSE))</f>
        <v>266275.86</v>
      </c>
      <c r="G54" s="1622"/>
      <c r="H54" s="1622"/>
      <c r="I54" s="1824"/>
      <c r="J54" s="1824"/>
      <c r="K54" s="1824"/>
      <c r="L54" s="1825"/>
      <c r="M54" s="1826"/>
      <c r="N54" s="1490"/>
      <c r="O54" s="1489"/>
      <c r="P54" s="1489"/>
      <c r="Q54" s="1489"/>
      <c r="R54" s="1489"/>
      <c r="S54" s="1489"/>
    </row>
    <row r="55" spans="1:19" ht="15" customHeight="1" x14ac:dyDescent="0.25">
      <c r="A55" s="1833"/>
      <c r="B55" s="1834"/>
      <c r="C55" s="1834"/>
      <c r="D55" s="1835"/>
      <c r="E55" s="1569" t="s">
        <v>4236</v>
      </c>
      <c r="F55" s="1621">
        <f>IF(Cover!H13=0,"",VLOOKUP($O$1,'FY23 Data for FY24 Plan'!$A$3:$BC$929,15,FALSE))</f>
        <v>118186.61</v>
      </c>
      <c r="G55" s="1622"/>
      <c r="H55" s="1622"/>
      <c r="I55" s="1824"/>
      <c r="J55" s="1824"/>
      <c r="K55" s="1824"/>
      <c r="L55" s="1825"/>
      <c r="M55" s="1826"/>
      <c r="N55" s="1490"/>
      <c r="O55" s="1489"/>
      <c r="P55" s="1489"/>
      <c r="Q55" s="1489"/>
      <c r="R55" s="1489"/>
      <c r="S55" s="1489"/>
    </row>
    <row r="56" spans="1:19" x14ac:dyDescent="0.25">
      <c r="A56" s="1833"/>
      <c r="B56" s="1834"/>
      <c r="C56" s="1834"/>
      <c r="D56" s="1835"/>
      <c r="E56" s="1569" t="s">
        <v>4235</v>
      </c>
      <c r="F56" s="1621">
        <f>IF(Cover!H13=0,"",VLOOKUP($O$1,'FY23 Data for FY24 Plan'!$A$3:$BC$929,16,FALSE))</f>
        <v>103014.97</v>
      </c>
      <c r="G56" s="1622">
        <v>133525</v>
      </c>
      <c r="H56" s="1622"/>
      <c r="I56" s="1824"/>
      <c r="J56" s="1824"/>
      <c r="K56" s="1824"/>
      <c r="L56" s="1825"/>
      <c r="M56" s="1826"/>
      <c r="N56" s="1490"/>
      <c r="O56" s="1489"/>
      <c r="P56" s="1489"/>
      <c r="Q56" s="1489"/>
      <c r="R56" s="1489"/>
      <c r="S56" s="1489"/>
    </row>
    <row r="57" spans="1:19" x14ac:dyDescent="0.25">
      <c r="A57" s="1833"/>
      <c r="B57" s="1834"/>
      <c r="C57" s="1834"/>
      <c r="D57" s="1835"/>
      <c r="E57" s="1569" t="s">
        <v>4234</v>
      </c>
      <c r="F57" s="1621">
        <f>IF(Cover!H13=0,"",VLOOKUP($O$1,'FY23 Data for FY24 Plan'!$A$3:$BC$929,17,FALSE))</f>
        <v>163389.84</v>
      </c>
      <c r="G57" s="1622"/>
      <c r="H57" s="1622"/>
      <c r="I57" s="1824"/>
      <c r="J57" s="1824"/>
      <c r="K57" s="1824"/>
      <c r="L57" s="1825"/>
      <c r="M57" s="1826"/>
      <c r="N57" s="1490"/>
      <c r="O57" s="1489"/>
      <c r="P57" s="1489"/>
      <c r="Q57" s="1489"/>
      <c r="R57" s="1489"/>
      <c r="S57" s="1489"/>
    </row>
    <row r="58" spans="1:19" x14ac:dyDescent="0.25">
      <c r="A58" s="1833"/>
      <c r="B58" s="1834"/>
      <c r="C58" s="1834"/>
      <c r="D58" s="1835"/>
      <c r="E58" s="1569" t="s">
        <v>4233</v>
      </c>
      <c r="F58" s="1621">
        <f>IF(Cover!H13=0,"",VLOOKUP($O$1,'FY23 Data for FY24 Plan'!$A$3:$BC$929,18,FALSE))</f>
        <v>62866.74</v>
      </c>
      <c r="G58" s="1622"/>
      <c r="H58" s="1622"/>
      <c r="I58" s="1824"/>
      <c r="J58" s="1824"/>
      <c r="K58" s="1824"/>
      <c r="L58" s="1825"/>
      <c r="M58" s="1826"/>
      <c r="N58" s="1490"/>
      <c r="O58" s="1489"/>
      <c r="P58" s="1489"/>
      <c r="Q58" s="1489"/>
      <c r="R58" s="1489"/>
      <c r="S58" s="1489"/>
    </row>
    <row r="59" spans="1:19" x14ac:dyDescent="0.25">
      <c r="A59" s="1833"/>
      <c r="B59" s="1834"/>
      <c r="C59" s="1834"/>
      <c r="D59" s="1835"/>
      <c r="E59" s="1569" t="s">
        <v>4232</v>
      </c>
      <c r="F59" s="1621">
        <f>IF(Cover!H13=0,"",VLOOKUP($O$1,'FY23 Data for FY24 Plan'!$A$3:$BC$929,19,FALSE))</f>
        <v>98728.36</v>
      </c>
      <c r="G59" s="1622"/>
      <c r="H59" s="1622"/>
      <c r="I59" s="1824"/>
      <c r="J59" s="1824"/>
      <c r="K59" s="1824"/>
      <c r="L59" s="1825"/>
      <c r="M59" s="1826"/>
      <c r="N59" s="1490"/>
      <c r="O59" s="1489"/>
      <c r="P59" s="1489"/>
      <c r="Q59" s="1489"/>
      <c r="R59" s="1489"/>
      <c r="S59" s="1489"/>
    </row>
    <row r="60" spans="1:19" x14ac:dyDescent="0.25">
      <c r="A60" s="1833"/>
      <c r="B60" s="1834"/>
      <c r="C60" s="1834"/>
      <c r="D60" s="1835"/>
      <c r="E60" s="1569" t="s">
        <v>4231</v>
      </c>
      <c r="F60" s="1621">
        <f>IF(Cover!H13=0,"",VLOOKUP($O$1,'FY23 Data for FY24 Plan'!$A$3:$BC$929,20,FALSE))</f>
        <v>135536.84</v>
      </c>
      <c r="G60" s="1622"/>
      <c r="H60" s="1622"/>
      <c r="I60" s="1824"/>
      <c r="J60" s="1824"/>
      <c r="K60" s="1824"/>
      <c r="L60" s="1825"/>
      <c r="M60" s="1826"/>
      <c r="N60" s="1490"/>
      <c r="O60" s="1489"/>
      <c r="P60" s="1489"/>
      <c r="Q60" s="1489"/>
      <c r="R60" s="1489"/>
      <c r="S60" s="1489"/>
    </row>
    <row r="61" spans="1:19" x14ac:dyDescent="0.25">
      <c r="A61" s="1833"/>
      <c r="B61" s="1834"/>
      <c r="C61" s="1834"/>
      <c r="D61" s="1835"/>
      <c r="E61" s="1569" t="s">
        <v>4230</v>
      </c>
      <c r="F61" s="1621">
        <f>IF(Cover!H13=0,"",VLOOKUP($O$1,'FY23 Data for FY24 Plan'!$A$3:$BC$929,21,FALSE))</f>
        <v>73823.91</v>
      </c>
      <c r="G61" s="1622"/>
      <c r="H61" s="1622"/>
      <c r="I61" s="1824"/>
      <c r="J61" s="1824"/>
      <c r="K61" s="1824"/>
      <c r="L61" s="1825"/>
      <c r="M61" s="1826"/>
      <c r="N61" s="1490"/>
      <c r="O61" s="1489"/>
      <c r="P61" s="1489"/>
      <c r="Q61" s="1489"/>
      <c r="R61" s="1489"/>
      <c r="S61" s="1489"/>
    </row>
    <row r="62" spans="1:19" x14ac:dyDescent="0.25">
      <c r="A62" s="1833"/>
      <c r="B62" s="1834"/>
      <c r="C62" s="1834"/>
      <c r="D62" s="1835"/>
      <c r="E62" s="1569" t="s">
        <v>4229</v>
      </c>
      <c r="F62" s="1621">
        <f>IF(Cover!H13=0,"",VLOOKUP($O$1,'FY23 Data for FY24 Plan'!$A$3:$BC$929,22,FALSE))</f>
        <v>202396.2</v>
      </c>
      <c r="G62" s="1622"/>
      <c r="H62" s="1622"/>
      <c r="I62" s="1824"/>
      <c r="J62" s="1824"/>
      <c r="K62" s="1824"/>
      <c r="L62" s="1825"/>
      <c r="M62" s="1826"/>
      <c r="N62" s="1490"/>
      <c r="O62" s="1489"/>
      <c r="P62" s="1489"/>
      <c r="Q62" s="1489"/>
      <c r="R62" s="1489"/>
      <c r="S62" s="1489"/>
    </row>
    <row r="63" spans="1:19" x14ac:dyDescent="0.25">
      <c r="A63" s="1833"/>
      <c r="B63" s="1834"/>
      <c r="C63" s="1834"/>
      <c r="D63" s="1835"/>
      <c r="E63" s="1569" t="s">
        <v>4228</v>
      </c>
      <c r="F63" s="1621">
        <f>IF(Cover!H13=0,"",VLOOKUP($O$1,'FY23 Data for FY24 Plan'!$A$3:$BC$929,23,FALSE))</f>
        <v>174567.48</v>
      </c>
      <c r="G63" s="1622"/>
      <c r="H63" s="1622"/>
      <c r="I63" s="1824"/>
      <c r="J63" s="1824"/>
      <c r="K63" s="1824"/>
      <c r="L63" s="1825"/>
      <c r="M63" s="1826"/>
      <c r="N63" s="1490"/>
      <c r="O63" s="1489"/>
      <c r="P63" s="1489"/>
      <c r="Q63" s="1489"/>
      <c r="R63" s="1489"/>
      <c r="S63" s="1489"/>
    </row>
    <row r="64" spans="1:19" ht="15.75" thickBot="1" x14ac:dyDescent="0.3">
      <c r="A64" s="1836"/>
      <c r="B64" s="1837"/>
      <c r="C64" s="1837"/>
      <c r="D64" s="1838"/>
      <c r="E64" s="1570" t="s">
        <v>4227</v>
      </c>
      <c r="F64" s="1621">
        <f>IF(Cover!H13=0,"",VLOOKUP($O$1,'FY23 Data for FY24 Plan'!$A$3:$BC$929,24,FALSE))</f>
        <v>118467.77</v>
      </c>
      <c r="G64" s="1622"/>
      <c r="H64" s="1622"/>
      <c r="I64" s="1824"/>
      <c r="J64" s="1824"/>
      <c r="K64" s="1824"/>
      <c r="L64" s="1825"/>
      <c r="M64" s="1826"/>
      <c r="N64" s="1490"/>
      <c r="O64" s="1489"/>
      <c r="P64" s="1489"/>
      <c r="Q64" s="1489"/>
      <c r="R64" s="1489"/>
      <c r="S64" s="1489"/>
    </row>
    <row r="65" spans="1:30" ht="16.5" thickTop="1" thickBot="1" x14ac:dyDescent="0.3">
      <c r="A65" s="1541"/>
      <c r="B65" s="1614"/>
      <c r="C65" s="1614"/>
      <c r="D65" s="1614"/>
      <c r="E65" s="1565" t="s">
        <v>4316</v>
      </c>
      <c r="F65" s="1515">
        <f>IF(Cover!H13=0,"",VLOOKUP($O$1,'FY23 Data for FY24 Plan'!$A$3:$BC$929,25,FALSE))</f>
        <v>4795438.01</v>
      </c>
      <c r="G65" s="1514">
        <f>IF(AND(ISBLANK(G52),ISBLANK(G53),ISBLANK(G54),ISBLANK(G55),ISBLANK(G56),ISBLANK(G57),ISBLANK(G58),ISBLANK(G59),ISBLANK(G60),ISBLANK(G61),ISBLANK(G62),ISBLANK(G63),ISBLANK(G64)),"",SUM(G52:G64))</f>
        <v>174506</v>
      </c>
      <c r="H65" s="1514" t="str">
        <f>IF(AND(ISBLANK(H52),ISBLANK(H53),ISBLANK(H54),ISBLANK(H55),ISBLANK(H56),ISBLANK(H57),ISBLANK(H58),ISBLANK(H59),ISBLANK(H60),ISBLANK(H61),ISBLANK(H62),ISBLANK(H63),ISBLANK(H64)),"",SUM(H52:H64))</f>
        <v/>
      </c>
      <c r="I65" s="1827"/>
      <c r="J65" s="1827"/>
      <c r="K65" s="1827"/>
      <c r="L65" s="1828"/>
      <c r="M65" s="1829"/>
      <c r="N65" s="1490"/>
      <c r="O65" s="1489"/>
      <c r="P65" s="1489"/>
      <c r="Q65" s="1489"/>
      <c r="R65" s="1489"/>
      <c r="S65" s="1489"/>
    </row>
    <row r="66" spans="1:30" x14ac:dyDescent="0.25">
      <c r="A66" s="1871" t="s">
        <v>4320</v>
      </c>
      <c r="B66" s="1872"/>
      <c r="C66" s="1872"/>
      <c r="D66" s="1873"/>
      <c r="E66" s="1567" t="s">
        <v>4226</v>
      </c>
      <c r="F66" s="1517">
        <f>IF(Cover!H13=0,"",VLOOKUP($O$1,'FY23 Data for FY24 Plan'!$A$3:$BC$929,26,FALSE))</f>
        <v>66986.999999999985</v>
      </c>
      <c r="G66" s="1516"/>
      <c r="H66" s="1516"/>
      <c r="I66" s="1824" t="s">
        <v>6996</v>
      </c>
      <c r="J66" s="1824"/>
      <c r="K66" s="1824"/>
      <c r="L66" s="1825"/>
      <c r="M66" s="1826"/>
      <c r="N66" s="1490"/>
      <c r="O66" s="1489"/>
      <c r="P66" s="1489"/>
      <c r="Q66" s="1489"/>
      <c r="R66" s="1489"/>
      <c r="S66" s="1489"/>
    </row>
    <row r="67" spans="1:30" x14ac:dyDescent="0.25">
      <c r="A67" s="1874"/>
      <c r="B67" s="1875"/>
      <c r="C67" s="1875"/>
      <c r="D67" s="1876"/>
      <c r="E67" s="1568" t="s">
        <v>4225</v>
      </c>
      <c r="F67" s="1517">
        <f>IF(Cover!H13=0,"",VLOOKUP($O$1,'FY23 Data for FY24 Plan'!$A$3:$BC$929,27,FALSE))</f>
        <v>93818.749999999985</v>
      </c>
      <c r="G67" s="1516">
        <v>23854</v>
      </c>
      <c r="H67" s="1516"/>
      <c r="I67" s="1824"/>
      <c r="J67" s="1824"/>
      <c r="K67" s="1824"/>
      <c r="L67" s="1825"/>
      <c r="M67" s="1826"/>
      <c r="N67" s="1490"/>
      <c r="O67" s="1489"/>
      <c r="P67" s="1489"/>
      <c r="Q67" s="1489"/>
      <c r="R67" s="1489"/>
      <c r="S67" s="1489"/>
    </row>
    <row r="68" spans="1:30" x14ac:dyDescent="0.25">
      <c r="A68" s="1874"/>
      <c r="B68" s="1875"/>
      <c r="C68" s="1875"/>
      <c r="D68" s="1876"/>
      <c r="E68" s="1568" t="s">
        <v>4224</v>
      </c>
      <c r="F68" s="1517">
        <f>IF(Cover!H13=0,"",VLOOKUP($O$1,'FY23 Data for FY24 Plan'!$A$3:$BC$929,28,FALSE))</f>
        <v>201897.94999999995</v>
      </c>
      <c r="G68" s="1516">
        <v>90798</v>
      </c>
      <c r="H68" s="1516"/>
      <c r="I68" s="1824"/>
      <c r="J68" s="1824"/>
      <c r="K68" s="1824"/>
      <c r="L68" s="1825"/>
      <c r="M68" s="1826"/>
      <c r="N68" s="1490"/>
      <c r="O68" s="1489"/>
      <c r="P68" s="1489"/>
      <c r="Q68" s="1489"/>
      <c r="R68" s="1489"/>
      <c r="S68" s="1489"/>
    </row>
    <row r="69" spans="1:30" x14ac:dyDescent="0.25">
      <c r="A69" s="1874"/>
      <c r="B69" s="1875"/>
      <c r="C69" s="1875"/>
      <c r="D69" s="1876"/>
      <c r="E69" s="1568" t="s">
        <v>4223</v>
      </c>
      <c r="F69" s="1517">
        <f>IF(Cover!H13=0,"",VLOOKUP($O$1,'FY23 Data for FY24 Plan'!$A$3:$BC$929,29,FALSE))</f>
        <v>21765.949999999997</v>
      </c>
      <c r="G69" s="1516">
        <v>22630</v>
      </c>
      <c r="H69" s="1516"/>
      <c r="I69" s="1824"/>
      <c r="J69" s="1824"/>
      <c r="K69" s="1824"/>
      <c r="L69" s="1825"/>
      <c r="M69" s="1826"/>
      <c r="N69" s="1490"/>
      <c r="O69" s="1489"/>
      <c r="P69" s="1489"/>
      <c r="Q69" s="1489"/>
      <c r="R69" s="1489"/>
      <c r="S69" s="1489"/>
    </row>
    <row r="70" spans="1:30" x14ac:dyDescent="0.25">
      <c r="A70" s="1874"/>
      <c r="B70" s="1875"/>
      <c r="C70" s="1875"/>
      <c r="D70" s="1876"/>
      <c r="E70" s="1610" t="s">
        <v>7020</v>
      </c>
      <c r="F70" s="1517">
        <f>IF(Cover!H13=0,"",VLOOKUP($O$1,'FY23 Data for FY24 Plan'!$A$3:$BC$929,30,FALSE))</f>
        <v>428564.05000000005</v>
      </c>
      <c r="G70" s="1516"/>
      <c r="H70" s="1516"/>
      <c r="I70" s="1824"/>
      <c r="J70" s="1824"/>
      <c r="K70" s="1824"/>
      <c r="L70" s="1825"/>
      <c r="M70" s="1826"/>
      <c r="N70" s="1490"/>
      <c r="O70" s="1489"/>
      <c r="P70" s="1489"/>
      <c r="Q70" s="1489"/>
      <c r="R70" s="1489"/>
      <c r="S70" s="1489"/>
    </row>
    <row r="71" spans="1:30" x14ac:dyDescent="0.25">
      <c r="A71" s="1874"/>
      <c r="B71" s="1875"/>
      <c r="C71" s="1875"/>
      <c r="D71" s="1876"/>
      <c r="E71" s="1568" t="s">
        <v>4221</v>
      </c>
      <c r="F71" s="1517">
        <f>IF(Cover!H13=0,"",VLOOKUP($O$1,'FY23 Data for FY24 Plan'!$A$3:$BC$929,31,FALSE))</f>
        <v>112448.56</v>
      </c>
      <c r="G71" s="1516">
        <v>112000</v>
      </c>
      <c r="H71" s="1516"/>
      <c r="I71" s="1824"/>
      <c r="J71" s="1824"/>
      <c r="K71" s="1824"/>
      <c r="L71" s="1825"/>
      <c r="M71" s="1826"/>
      <c r="N71" s="1490"/>
      <c r="O71" s="1489"/>
      <c r="P71" s="1489"/>
      <c r="Q71" s="1489"/>
      <c r="R71" s="1489"/>
      <c r="S71" s="1489"/>
    </row>
    <row r="72" spans="1:30" x14ac:dyDescent="0.25">
      <c r="A72" s="1874"/>
      <c r="B72" s="1875"/>
      <c r="C72" s="1875"/>
      <c r="D72" s="1876"/>
      <c r="E72" s="1568" t="s">
        <v>4220</v>
      </c>
      <c r="F72" s="1517">
        <f>IF(Cover!H13=0,"",VLOOKUP($O$1,'FY23 Data for FY24 Plan'!$A$3:$BC$929,32,FALSE))</f>
        <v>920924.84999999986</v>
      </c>
      <c r="G72" s="1516"/>
      <c r="H72" s="1516"/>
      <c r="I72" s="1824"/>
      <c r="J72" s="1824"/>
      <c r="K72" s="1824"/>
      <c r="L72" s="1825"/>
      <c r="M72" s="1826"/>
      <c r="N72" s="1490"/>
      <c r="O72" s="1489"/>
      <c r="P72" s="1489"/>
      <c r="Q72" s="1489"/>
      <c r="R72" s="1489"/>
      <c r="S72" s="1489"/>
    </row>
    <row r="73" spans="1:30" x14ac:dyDescent="0.25">
      <c r="A73" s="1874"/>
      <c r="B73" s="1875"/>
      <c r="C73" s="1875"/>
      <c r="D73" s="1876"/>
      <c r="E73" s="1568" t="s">
        <v>4219</v>
      </c>
      <c r="F73" s="1517">
        <f>IF(Cover!H13=0,"",VLOOKUP($O$1,'FY23 Data for FY24 Plan'!$A$3:$BC$929,33,FALSE))</f>
        <v>662735.64999999991</v>
      </c>
      <c r="G73" s="1516"/>
      <c r="H73" s="1516"/>
      <c r="I73" s="1824"/>
      <c r="J73" s="1824"/>
      <c r="K73" s="1824"/>
      <c r="L73" s="1825"/>
      <c r="M73" s="1826"/>
      <c r="N73" s="1490"/>
      <c r="O73" s="1489"/>
      <c r="P73" s="1489"/>
      <c r="Q73" s="1489"/>
      <c r="R73" s="1489"/>
      <c r="S73" s="1489"/>
    </row>
    <row r="74" spans="1:30" ht="15.75" thickBot="1" x14ac:dyDescent="0.3">
      <c r="A74" s="1877"/>
      <c r="B74" s="1878"/>
      <c r="C74" s="1878"/>
      <c r="D74" s="1879"/>
      <c r="E74" s="1568" t="s">
        <v>405</v>
      </c>
      <c r="F74" s="1517">
        <f>IF(Cover!H13=0,"",VLOOKUP($O$1,'FY23 Data for FY24 Plan'!$A$3:$BC$929,34,FALSE))</f>
        <v>2127136.59705</v>
      </c>
      <c r="G74" s="1516"/>
      <c r="H74" s="1516"/>
      <c r="I74" s="1824"/>
      <c r="J74" s="1824"/>
      <c r="K74" s="1824"/>
      <c r="L74" s="1825"/>
      <c r="M74" s="1826"/>
      <c r="N74" s="1490"/>
      <c r="O74" s="1489"/>
      <c r="P74" s="1489"/>
      <c r="Q74" s="1489"/>
      <c r="R74" s="1489"/>
      <c r="S74" s="1489"/>
    </row>
    <row r="75" spans="1:30" ht="16.5" thickTop="1" thickBot="1" x14ac:dyDescent="0.3">
      <c r="A75" s="1541"/>
      <c r="B75" s="1614"/>
      <c r="C75" s="1614"/>
      <c r="D75" s="1614"/>
      <c r="E75" s="1566" t="s">
        <v>4319</v>
      </c>
      <c r="F75" s="1515">
        <f>IF(Cover!H13=0,"",VLOOKUP($O$1,'FY23 Data for FY24 Plan'!$A$3:$BC$929,38,FALSE))</f>
        <v>4666878.5470500011</v>
      </c>
      <c r="G75" s="1514">
        <f>IF(AND(ISBLANK(G66),ISBLANK(G67),ISBLANK(G68),ISBLANK(G69),ISBLANK(G70),ISBLANK(G71),ISBLANK(G72),ISBLANK(G73),ISBLANK(G74)),"",SUM(G66:G74))</f>
        <v>249282</v>
      </c>
      <c r="H75" s="1514" t="str">
        <f>IF(AND(ISBLANK(H66),ISBLANK(H67),ISBLANK(H68),ISBLANK(H69),ISBLANK(H70),ISBLANK(H71),ISBLANK(H72),ISBLANK(H73),ISBLANK(H74)),"",SUM(H66:H74))</f>
        <v/>
      </c>
      <c r="I75" s="1827"/>
      <c r="J75" s="1827"/>
      <c r="K75" s="1827"/>
      <c r="L75" s="1828"/>
      <c r="M75" s="1829"/>
      <c r="N75" s="1490"/>
      <c r="O75" s="1489"/>
      <c r="P75" s="1489"/>
      <c r="Q75" s="1489"/>
      <c r="R75" s="1489"/>
      <c r="S75" s="1489"/>
      <c r="AD75" s="1518"/>
    </row>
    <row r="76" spans="1:30" x14ac:dyDescent="0.25">
      <c r="A76" s="1880" t="s">
        <v>4318</v>
      </c>
      <c r="B76" s="1881"/>
      <c r="C76" s="1881"/>
      <c r="D76" s="1882"/>
      <c r="E76" s="1611" t="s">
        <v>4306</v>
      </c>
      <c r="F76" s="1517">
        <f>IF(Cover!H13=0,"",VLOOKUP($O$1,'FY23 Data for FY24 Plan'!$A$3:$BC$929,39,FALSE))</f>
        <v>244326.76</v>
      </c>
      <c r="G76" s="1516"/>
      <c r="H76" s="1516"/>
      <c r="I76" s="1861" t="s">
        <v>4317</v>
      </c>
      <c r="J76" s="1862"/>
      <c r="K76" s="1862"/>
      <c r="L76" s="1862"/>
      <c r="M76" s="1863"/>
      <c r="N76" s="1490"/>
      <c r="O76" s="1489"/>
      <c r="P76" s="1489"/>
      <c r="Q76" s="1489"/>
      <c r="R76" s="1489"/>
      <c r="S76" s="1489"/>
      <c r="AD76" s="1509"/>
    </row>
    <row r="77" spans="1:30" x14ac:dyDescent="0.25">
      <c r="A77" s="1883"/>
      <c r="B77" s="1884"/>
      <c r="C77" s="1884"/>
      <c r="D77" s="1885"/>
      <c r="E77" s="1611" t="s">
        <v>4304</v>
      </c>
      <c r="F77" s="1517">
        <f>IF(Cover!H13=0,"",VLOOKUP($O$1,'FY23 Data for FY24 Plan'!$A$3:$BC$929,40,FALSE))</f>
        <v>244326.76</v>
      </c>
      <c r="G77" s="1516"/>
      <c r="H77" s="1516"/>
      <c r="I77" s="1864"/>
      <c r="J77" s="1865"/>
      <c r="K77" s="1865"/>
      <c r="L77" s="1865"/>
      <c r="M77" s="1866"/>
      <c r="N77" s="1490"/>
      <c r="O77" s="1489"/>
      <c r="P77" s="1489"/>
      <c r="Q77" s="1489"/>
      <c r="R77" s="1489"/>
      <c r="S77" s="1489"/>
    </row>
    <row r="78" spans="1:30" x14ac:dyDescent="0.25">
      <c r="A78" s="1883"/>
      <c r="B78" s="1884"/>
      <c r="C78" s="1884"/>
      <c r="D78" s="1885"/>
      <c r="E78" s="1611" t="s">
        <v>4305</v>
      </c>
      <c r="F78" s="1517">
        <f>IF(Cover!H13=0,"",VLOOKUP($O$1,'FY23 Data for FY24 Plan'!$A$3:$BC$929,41,FALSE))</f>
        <v>254040.05</v>
      </c>
      <c r="G78" s="1516"/>
      <c r="H78" s="1516"/>
      <c r="I78" s="1864"/>
      <c r="J78" s="1865"/>
      <c r="K78" s="1865"/>
      <c r="L78" s="1865"/>
      <c r="M78" s="1866"/>
      <c r="N78" s="1490"/>
      <c r="O78" s="1489"/>
      <c r="P78" s="1489"/>
      <c r="Q78" s="1489"/>
      <c r="R78" s="1489"/>
      <c r="S78" s="1489"/>
    </row>
    <row r="79" spans="1:30" x14ac:dyDescent="0.25">
      <c r="A79" s="1883"/>
      <c r="B79" s="1884"/>
      <c r="C79" s="1884"/>
      <c r="D79" s="1885"/>
      <c r="E79" s="1611" t="s">
        <v>4303</v>
      </c>
      <c r="F79" s="1517">
        <f>IF(Cover!H13=0,"",VLOOKUP($O$1,'FY23 Data for FY24 Plan'!$A$3:$BC$929,42,FALSE))</f>
        <v>254040.05</v>
      </c>
      <c r="G79" s="1516"/>
      <c r="H79" s="1516"/>
      <c r="I79" s="1864"/>
      <c r="J79" s="1865"/>
      <c r="K79" s="1865"/>
      <c r="L79" s="1865"/>
      <c r="M79" s="1866"/>
      <c r="N79" s="1490"/>
      <c r="O79" s="1489"/>
      <c r="P79" s="1489"/>
      <c r="Q79" s="1489"/>
      <c r="R79" s="1489"/>
      <c r="S79" s="1489"/>
    </row>
    <row r="80" spans="1:30" x14ac:dyDescent="0.25">
      <c r="A80" s="1883"/>
      <c r="B80" s="1884"/>
      <c r="C80" s="1884"/>
      <c r="D80" s="1885"/>
      <c r="E80" s="1611" t="s">
        <v>4210</v>
      </c>
      <c r="F80" s="1517">
        <f>IF(Cover!H13=0,"",VLOOKUP($O$1,'FY23 Data for FY24 Plan'!$A$3:$BC$929,43,FALSE))</f>
        <v>73970.48</v>
      </c>
      <c r="G80" s="1516"/>
      <c r="H80" s="1516"/>
      <c r="I80" s="1864"/>
      <c r="J80" s="1865"/>
      <c r="K80" s="1865"/>
      <c r="L80" s="1865"/>
      <c r="M80" s="1866"/>
      <c r="N80" s="1490"/>
      <c r="O80" s="1489"/>
      <c r="P80" s="1489"/>
      <c r="Q80" s="1489"/>
      <c r="R80" s="1489"/>
      <c r="S80" s="1489"/>
    </row>
    <row r="81" spans="1:21" x14ac:dyDescent="0.25">
      <c r="A81" s="1883"/>
      <c r="B81" s="1884"/>
      <c r="C81" s="1884"/>
      <c r="D81" s="1885"/>
      <c r="E81" s="1611" t="s">
        <v>4209</v>
      </c>
      <c r="F81" s="1517">
        <f>IF(Cover!H13=0,"",VLOOKUP($O$1,'FY23 Data for FY24 Plan'!$A$3:$BC$929,44,FALSE))</f>
        <v>73970.48</v>
      </c>
      <c r="G81" s="1516">
        <v>15000</v>
      </c>
      <c r="H81" s="1516"/>
      <c r="I81" s="1864"/>
      <c r="J81" s="1865"/>
      <c r="K81" s="1865"/>
      <c r="L81" s="1865"/>
      <c r="M81" s="1866"/>
      <c r="N81" s="1490"/>
      <c r="O81" s="1489"/>
      <c r="P81" s="1489"/>
      <c r="Q81" s="1489"/>
      <c r="R81" s="1489"/>
      <c r="S81" s="1489"/>
    </row>
    <row r="82" spans="1:21" x14ac:dyDescent="0.25">
      <c r="A82" s="1883"/>
      <c r="B82" s="1884"/>
      <c r="C82" s="1884"/>
      <c r="D82" s="1885"/>
      <c r="E82" s="1611" t="s">
        <v>4208</v>
      </c>
      <c r="F82" s="1517">
        <f>IF(Cover!H13=0,"",VLOOKUP($O$1,'FY23 Data for FY24 Plan'!$A$3:$BC$929,45,FALSE))</f>
        <v>76959.19</v>
      </c>
      <c r="G82" s="1516"/>
      <c r="H82" s="1516"/>
      <c r="I82" s="1864"/>
      <c r="J82" s="1865"/>
      <c r="K82" s="1865"/>
      <c r="L82" s="1865"/>
      <c r="M82" s="1866"/>
      <c r="N82" s="1490"/>
      <c r="O82" s="1489"/>
      <c r="P82" s="1489"/>
      <c r="Q82" s="1489"/>
      <c r="R82" s="1489"/>
      <c r="S82" s="1489"/>
      <c r="T82" s="1489"/>
      <c r="U82" s="1489"/>
    </row>
    <row r="83" spans="1:21" x14ac:dyDescent="0.25">
      <c r="A83" s="1883"/>
      <c r="B83" s="1884"/>
      <c r="C83" s="1884"/>
      <c r="D83" s="1885"/>
      <c r="E83" s="1611" t="s">
        <v>4207</v>
      </c>
      <c r="F83" s="1517">
        <f>IF(Cover!H13=0,"",VLOOKUP($O$1,'FY23 Data for FY24 Plan'!$A$3:$BC$929,46,FALSE))</f>
        <v>76959.19</v>
      </c>
      <c r="G83" s="1516"/>
      <c r="H83" s="1516"/>
      <c r="I83" s="1864"/>
      <c r="J83" s="1865"/>
      <c r="K83" s="1865"/>
      <c r="L83" s="1865"/>
      <c r="M83" s="1866"/>
      <c r="N83" s="1490"/>
      <c r="O83" s="1489"/>
      <c r="P83" s="1489"/>
      <c r="Q83" s="1489"/>
      <c r="R83" s="1489"/>
      <c r="S83" s="1489"/>
      <c r="T83" s="1489"/>
      <c r="U83" s="1489"/>
    </row>
    <row r="84" spans="1:21" x14ac:dyDescent="0.25">
      <c r="A84" s="1883"/>
      <c r="B84" s="1884"/>
      <c r="C84" s="1884"/>
      <c r="D84" s="1885"/>
      <c r="E84" s="1611" t="s">
        <v>4206</v>
      </c>
      <c r="F84" s="1517">
        <f>IF(Cover!H13=0,"",VLOOKUP($O$1,'FY23 Data for FY24 Plan'!$A$3:$BC$929,47,FALSE))</f>
        <v>92649.9</v>
      </c>
      <c r="G84" s="1516">
        <v>56317</v>
      </c>
      <c r="H84" s="1516"/>
      <c r="I84" s="1864"/>
      <c r="J84" s="1865"/>
      <c r="K84" s="1865"/>
      <c r="L84" s="1865"/>
      <c r="M84" s="1866"/>
      <c r="N84" s="1490"/>
      <c r="O84" s="1489"/>
      <c r="P84" s="1489"/>
      <c r="Q84" s="1489"/>
      <c r="R84" s="1489"/>
      <c r="S84" s="1489"/>
      <c r="T84" s="1489"/>
      <c r="U84" s="1489"/>
    </row>
    <row r="85" spans="1:21" x14ac:dyDescent="0.25">
      <c r="A85" s="1883"/>
      <c r="B85" s="1884"/>
      <c r="C85" s="1884"/>
      <c r="D85" s="1885"/>
      <c r="E85" s="1611" t="s">
        <v>4205</v>
      </c>
      <c r="F85" s="1517">
        <f>IF(Cover!H13=0,"",VLOOKUP($O$1,'FY23 Data for FY24 Plan'!$A$3:$BC$929,48,FALSE))</f>
        <v>397497.97</v>
      </c>
      <c r="G85" s="1516"/>
      <c r="H85" s="1516"/>
      <c r="I85" s="1864"/>
      <c r="J85" s="1865"/>
      <c r="K85" s="1865"/>
      <c r="L85" s="1865"/>
      <c r="M85" s="1866"/>
      <c r="N85" s="1490"/>
      <c r="O85" s="1489"/>
      <c r="P85" s="1489"/>
      <c r="Q85" s="1489"/>
      <c r="R85" s="1489"/>
      <c r="S85" s="1489"/>
      <c r="T85" s="1489"/>
      <c r="U85" s="1489"/>
    </row>
    <row r="86" spans="1:21" x14ac:dyDescent="0.25">
      <c r="A86" s="1883"/>
      <c r="B86" s="1884"/>
      <c r="C86" s="1884"/>
      <c r="D86" s="1885"/>
      <c r="E86" s="1611" t="s">
        <v>4204</v>
      </c>
      <c r="F86" s="1517">
        <f>IF(Cover!H13=0,"",VLOOKUP($O$1,'FY23 Data for FY24 Plan'!$A$3:$BC$929,49,FALSE))</f>
        <v>157728.20000000001</v>
      </c>
      <c r="G86" s="1516"/>
      <c r="H86" s="1516"/>
      <c r="I86" s="1864"/>
      <c r="J86" s="1865"/>
      <c r="K86" s="1865"/>
      <c r="L86" s="1865"/>
      <c r="M86" s="1866"/>
      <c r="N86" s="1490"/>
      <c r="O86" s="1489"/>
      <c r="P86" s="1489"/>
      <c r="Q86" s="1489"/>
      <c r="R86" s="1489"/>
      <c r="S86" s="1489"/>
      <c r="T86" s="1489"/>
      <c r="U86" s="1489"/>
    </row>
    <row r="87" spans="1:21" ht="15.75" thickBot="1" x14ac:dyDescent="0.3">
      <c r="A87" s="1886"/>
      <c r="B87" s="1887"/>
      <c r="C87" s="1887"/>
      <c r="D87" s="1888"/>
      <c r="E87" s="1611" t="s">
        <v>4203</v>
      </c>
      <c r="F87" s="1517">
        <f>IF(Cover!H13=0,"",VLOOKUP($O$1,'FY23 Data for FY24 Plan'!$A$3:$BC$929,50,FALSE))</f>
        <v>62047.77</v>
      </c>
      <c r="G87" s="1516"/>
      <c r="H87" s="1516"/>
      <c r="I87" s="1864"/>
      <c r="J87" s="1865"/>
      <c r="K87" s="1865"/>
      <c r="L87" s="1865"/>
      <c r="M87" s="1866"/>
      <c r="N87" s="1490"/>
      <c r="O87" s="1489"/>
      <c r="P87" s="1489"/>
      <c r="Q87" s="1489"/>
      <c r="R87" s="1489"/>
      <c r="S87" s="1489"/>
      <c r="T87" s="1489"/>
      <c r="U87" s="1489"/>
    </row>
    <row r="88" spans="1:21" ht="16.5" thickTop="1" thickBot="1" x14ac:dyDescent="0.3">
      <c r="A88" s="1541"/>
      <c r="B88" s="1614"/>
      <c r="C88" s="1614"/>
      <c r="D88" s="1614"/>
      <c r="E88" s="1571" t="s">
        <v>4316</v>
      </c>
      <c r="F88" s="1515">
        <f>IF(Cover!H13=0,"",VLOOKUP($O$1,'FY23 Data for FY24 Plan'!$A$3:$BC$929,51,FALSE))</f>
        <v>2008516.7999999998</v>
      </c>
      <c r="G88" s="1514">
        <f>IF(AND(ISBLANK(G76),ISBLANK(G77),ISBLANK(G78),ISBLANK(G79),ISBLANK(G80),ISBLANK(G81),ISBLANK(G82),ISBLANK(G83),ISBLANK(G84),ISBLANK(G85),ISBLANK(G86),ISBLANK(G87)),"",SUM(G76:G87))</f>
        <v>71317</v>
      </c>
      <c r="H88" s="1514" t="str">
        <f>IF(AND(ISBLANK(H76),ISBLANK(H77),ISBLANK(H78),ISBLANK(H79),ISBLANK(H80),ISBLANK(H81),ISBLANK(H82),ISBLANK(H83),ISBLANK(H84),ISBLANK(H85),ISBLANK(H86),ISBLANK(H87)),"",SUM(H76:H87))</f>
        <v/>
      </c>
      <c r="I88" s="1858"/>
      <c r="J88" s="1859"/>
      <c r="K88" s="1859"/>
      <c r="L88" s="1859"/>
      <c r="M88" s="1860"/>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495105</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11470833.48</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495105</v>
      </c>
      <c r="H90" s="1506" t="str">
        <f>IF(H65="","",SUM(H65,H75,H88,H89))</f>
        <v/>
      </c>
      <c r="I90" s="1867" t="s">
        <v>4313</v>
      </c>
      <c r="J90" s="1868"/>
      <c r="K90" s="1868"/>
      <c r="L90" s="1869" t="str">
        <f>IF(I89=0,"",IF(G90=G31,"  Complete, G90=G31",IF(G90&lt;G31,"  Incomplete, G90&lt;G31",IF(G90&gt;G31,"  Incomplete, G90&gt;G31"))))</f>
        <v xml:space="preserve">  Complete, G90=G31</v>
      </c>
      <c r="M90" s="1870"/>
      <c r="N90" s="1490">
        <f>IF(G51="[Optional]",1,IF(G31=G90,1,0))</f>
        <v>1</v>
      </c>
      <c r="O90" s="1489"/>
      <c r="P90" s="1489"/>
      <c r="Q90" s="1489"/>
      <c r="R90" s="1489"/>
      <c r="S90" s="1489"/>
      <c r="T90" s="1489"/>
      <c r="U90" s="1489"/>
    </row>
    <row r="91" spans="1:21" ht="63.75" customHeight="1" x14ac:dyDescent="0.25">
      <c r="A91" s="1541"/>
      <c r="B91" s="1614"/>
      <c r="C91" s="1614"/>
      <c r="D91" s="1614"/>
      <c r="E91" s="1818" t="s">
        <v>6998</v>
      </c>
      <c r="F91" s="1818"/>
      <c r="G91" s="1818"/>
      <c r="H91" s="1818"/>
      <c r="I91" s="1819"/>
      <c r="J91" s="1819"/>
      <c r="K91" s="1819"/>
      <c r="L91" s="1819"/>
      <c r="M91" s="1820"/>
      <c r="N91" s="1490"/>
      <c r="O91" s="1489"/>
      <c r="P91" s="1489"/>
      <c r="Q91" s="1489"/>
      <c r="R91" s="1489"/>
      <c r="S91" s="1489"/>
      <c r="T91" s="1489"/>
      <c r="U91" s="1489"/>
    </row>
    <row r="92" spans="1:21" ht="6" customHeight="1" x14ac:dyDescent="0.25">
      <c r="A92" s="1854"/>
      <c r="B92" s="1855"/>
      <c r="C92" s="1855"/>
      <c r="D92" s="1855"/>
      <c r="E92" s="1855"/>
      <c r="F92" s="1855"/>
      <c r="G92" s="1855"/>
      <c r="H92" s="1855"/>
      <c r="I92" s="1855"/>
      <c r="J92" s="1855"/>
      <c r="K92" s="1855"/>
      <c r="L92" s="1856"/>
      <c r="M92" s="1857"/>
      <c r="N92" s="1490"/>
      <c r="O92" s="1489"/>
      <c r="P92" s="1489"/>
      <c r="Q92" s="1489"/>
      <c r="R92" s="1489"/>
      <c r="S92" s="1489"/>
      <c r="T92" s="1489"/>
      <c r="U92" s="1489"/>
    </row>
    <row r="93" spans="1:21" ht="32.25" customHeight="1" x14ac:dyDescent="0.25">
      <c r="A93" s="1541"/>
      <c r="B93" s="1896" t="s">
        <v>6999</v>
      </c>
      <c r="C93" s="1897"/>
      <c r="D93" s="1897"/>
      <c r="E93" s="1897"/>
      <c r="F93" s="1897"/>
      <c r="G93" s="1949"/>
      <c r="H93" s="1949"/>
      <c r="I93" s="1949"/>
      <c r="J93" s="1949"/>
      <c r="K93" s="1949"/>
      <c r="L93" s="1950"/>
      <c r="M93" s="1951"/>
      <c r="N93" s="1490">
        <f>IF(B94="",1,IF(AND(B94="Required",LEN(G93)&gt;10),1,0))</f>
        <v>1</v>
      </c>
      <c r="O93" s="1489"/>
      <c r="P93" s="1489"/>
      <c r="Q93" s="1489"/>
      <c r="R93" s="1489"/>
      <c r="S93" s="1489"/>
      <c r="T93" s="1489"/>
      <c r="U93" s="1489"/>
    </row>
    <row r="94" spans="1:21" ht="84.75" customHeight="1" x14ac:dyDescent="0.25">
      <c r="A94" s="1541"/>
      <c r="B94" s="1952" t="str">
        <f>IF(G89&gt;0,"Required","")</f>
        <v/>
      </c>
      <c r="C94" s="1953"/>
      <c r="D94" s="1953"/>
      <c r="E94" s="1953"/>
      <c r="F94" s="1953"/>
      <c r="G94" s="1949"/>
      <c r="H94" s="1949"/>
      <c r="I94" s="1949"/>
      <c r="J94" s="1949"/>
      <c r="K94" s="1949"/>
      <c r="L94" s="1950"/>
      <c r="M94" s="1951"/>
      <c r="N94" s="1490"/>
      <c r="O94" s="1489"/>
      <c r="P94" s="1489"/>
      <c r="Q94" s="1489"/>
      <c r="R94" s="1489"/>
      <c r="S94" s="1489"/>
      <c r="T94" s="1489"/>
      <c r="U94" s="1489"/>
    </row>
    <row r="95" spans="1:21" ht="6" customHeight="1" x14ac:dyDescent="0.25">
      <c r="A95" s="1854"/>
      <c r="B95" s="1855"/>
      <c r="C95" s="1855"/>
      <c r="D95" s="1855"/>
      <c r="E95" s="1855"/>
      <c r="F95" s="1855"/>
      <c r="G95" s="1855"/>
      <c r="H95" s="1855"/>
      <c r="I95" s="1855"/>
      <c r="J95" s="1855"/>
      <c r="K95" s="1855"/>
      <c r="L95" s="1856"/>
      <c r="M95" s="1857"/>
      <c r="N95" s="1490"/>
      <c r="O95" s="1489"/>
      <c r="P95" s="1489"/>
      <c r="Q95" s="1489"/>
      <c r="R95" s="1489"/>
      <c r="S95" s="1489"/>
      <c r="T95" s="1489"/>
      <c r="U95" s="1489"/>
    </row>
    <row r="96" spans="1:21" ht="20.25" customHeight="1" x14ac:dyDescent="0.25">
      <c r="A96" s="1974" t="s">
        <v>4312</v>
      </c>
      <c r="B96" s="1975"/>
      <c r="C96" s="1975"/>
      <c r="D96" s="1975"/>
      <c r="E96" s="1975"/>
      <c r="F96" s="1975"/>
      <c r="G96" s="1975"/>
      <c r="H96" s="1975"/>
      <c r="I96" s="1975"/>
      <c r="J96" s="1975"/>
      <c r="K96" s="1975"/>
      <c r="L96" s="1975"/>
      <c r="M96" s="1976"/>
      <c r="N96" s="1490"/>
      <c r="O96" s="1489"/>
      <c r="P96" s="1489"/>
      <c r="Q96" s="1489"/>
      <c r="R96" s="1489"/>
      <c r="S96" s="1489"/>
      <c r="T96" s="1489"/>
      <c r="U96" s="1489"/>
    </row>
    <row r="97" spans="1:21" ht="65.25" customHeight="1" x14ac:dyDescent="0.25">
      <c r="A97" s="1977" t="s">
        <v>7000</v>
      </c>
      <c r="B97" s="1978"/>
      <c r="C97" s="1978"/>
      <c r="D97" s="1978"/>
      <c r="E97" s="1978"/>
      <c r="F97" s="1978"/>
      <c r="G97" s="1978"/>
      <c r="H97" s="1978"/>
      <c r="I97" s="1978"/>
      <c r="J97" s="1978"/>
      <c r="K97" s="1978"/>
      <c r="L97" s="1978"/>
      <c r="M97" s="1979"/>
      <c r="N97" s="1490"/>
      <c r="O97" s="1489"/>
      <c r="P97" s="1489"/>
      <c r="Q97" s="1489"/>
      <c r="R97" s="1489"/>
      <c r="S97" s="1489"/>
      <c r="T97" s="1489"/>
      <c r="U97" s="1489"/>
    </row>
    <row r="98" spans="1:21" ht="22.5" customHeight="1" x14ac:dyDescent="0.25">
      <c r="A98" s="1954" t="s">
        <v>4311</v>
      </c>
      <c r="B98" s="1955"/>
      <c r="C98" s="1955"/>
      <c r="D98" s="1955"/>
      <c r="E98" s="1955"/>
      <c r="F98" s="1955"/>
      <c r="G98" s="1955"/>
      <c r="H98" s="1955"/>
      <c r="I98" s="1955"/>
      <c r="J98" s="1955"/>
      <c r="K98" s="1955"/>
      <c r="L98" s="1955"/>
      <c r="M98" s="1956"/>
      <c r="N98" s="1490"/>
      <c r="O98" s="1489"/>
      <c r="P98" s="1489"/>
      <c r="Q98" s="1489"/>
      <c r="R98" s="1489"/>
      <c r="S98" s="1489"/>
      <c r="T98" s="1489"/>
      <c r="U98" s="1489"/>
    </row>
    <row r="99" spans="1:21" ht="22.5" customHeight="1" x14ac:dyDescent="0.25">
      <c r="A99" s="1542"/>
      <c r="B99" s="1933"/>
      <c r="C99" s="1933"/>
      <c r="D99" s="1933"/>
      <c r="E99" s="1933"/>
      <c r="F99" s="1968"/>
      <c r="G99" s="1602" t="s">
        <v>7001</v>
      </c>
      <c r="H99" s="1597" t="s">
        <v>7002</v>
      </c>
      <c r="I99" s="1969" t="s">
        <v>7237</v>
      </c>
      <c r="J99" s="1969"/>
      <c r="K99" s="1969"/>
      <c r="L99" s="1969"/>
      <c r="M99" s="1970"/>
      <c r="N99" s="1490"/>
      <c r="O99" s="1489"/>
      <c r="P99" s="1489"/>
      <c r="Q99" s="1489"/>
      <c r="R99" s="1489"/>
      <c r="S99" s="1489"/>
      <c r="T99" s="1489"/>
      <c r="U99" s="1489"/>
    </row>
    <row r="100" spans="1:21" ht="22.5" customHeight="1" x14ac:dyDescent="0.25">
      <c r="A100" s="1967" t="s">
        <v>4310</v>
      </c>
      <c r="B100" s="1913" t="s">
        <v>7003</v>
      </c>
      <c r="C100" s="1913"/>
      <c r="D100" s="1913"/>
      <c r="E100" s="1914"/>
      <c r="F100" s="1544" t="s">
        <v>6997</v>
      </c>
      <c r="G100" s="1505">
        <v>795731.6</v>
      </c>
      <c r="H100" s="1606" t="s">
        <v>6977</v>
      </c>
      <c r="I100" s="1969"/>
      <c r="J100" s="1969"/>
      <c r="K100" s="1969"/>
      <c r="L100" s="1969"/>
      <c r="M100" s="1970"/>
      <c r="N100" s="1490">
        <f>IF(AND(ISNUMBER(G100),H100&lt;&gt;0),1,0)</f>
        <v>1</v>
      </c>
      <c r="O100" s="1489"/>
      <c r="P100" s="1489"/>
      <c r="Q100" s="1489"/>
      <c r="R100" s="1489"/>
      <c r="S100" s="1489"/>
      <c r="T100" s="1489"/>
      <c r="U100" s="1489"/>
    </row>
    <row r="101" spans="1:21" ht="22.5" customHeight="1" x14ac:dyDescent="0.25">
      <c r="A101" s="1967"/>
      <c r="B101" s="1915"/>
      <c r="C101" s="1915"/>
      <c r="D101" s="1915"/>
      <c r="E101" s="1916"/>
      <c r="F101" s="1544" t="s">
        <v>4309</v>
      </c>
      <c r="G101" s="1505">
        <v>67288.63</v>
      </c>
      <c r="H101" s="1606" t="s">
        <v>6977</v>
      </c>
      <c r="I101" s="1969"/>
      <c r="J101" s="1969"/>
      <c r="K101" s="1969"/>
      <c r="L101" s="1969"/>
      <c r="M101" s="1970"/>
      <c r="N101" s="1490">
        <f t="shared" ref="N101:N102" si="0">IF(AND(ISNUMBER(G101),H101&lt;&gt;0),1,0)</f>
        <v>1</v>
      </c>
      <c r="O101" s="1489"/>
      <c r="P101" s="1489"/>
      <c r="Q101" s="1489"/>
      <c r="R101" s="1489"/>
      <c r="S101" s="1489"/>
      <c r="T101" s="1489"/>
      <c r="U101" s="1489"/>
    </row>
    <row r="102" spans="1:21" ht="22.5" customHeight="1" x14ac:dyDescent="0.25">
      <c r="A102" s="1967"/>
      <c r="B102" s="1915"/>
      <c r="C102" s="1915"/>
      <c r="D102" s="1915"/>
      <c r="E102" s="1916"/>
      <c r="F102" s="1544" t="s">
        <v>4308</v>
      </c>
      <c r="G102" s="1505">
        <v>413460.61</v>
      </c>
      <c r="H102" s="1603" t="s">
        <v>6977</v>
      </c>
      <c r="I102" s="1604"/>
      <c r="J102" s="1604"/>
      <c r="K102" s="1604"/>
      <c r="L102" s="1604"/>
      <c r="M102" s="1605"/>
      <c r="N102" s="1490">
        <f t="shared" si="0"/>
        <v>1</v>
      </c>
      <c r="O102" s="1489"/>
      <c r="P102" s="1489"/>
      <c r="Q102" s="1489"/>
      <c r="R102" s="1489"/>
      <c r="S102" s="1489"/>
      <c r="T102" s="1489"/>
      <c r="U102" s="1489"/>
    </row>
    <row r="103" spans="1:21" ht="6" customHeight="1" x14ac:dyDescent="0.25">
      <c r="A103" s="1959"/>
      <c r="B103" s="1960"/>
      <c r="C103" s="1960"/>
      <c r="D103" s="1960"/>
      <c r="E103" s="1960"/>
      <c r="F103" s="1960"/>
      <c r="G103" s="1961"/>
      <c r="H103" s="1961"/>
      <c r="I103" s="1961"/>
      <c r="J103" s="1960"/>
      <c r="K103" s="1960"/>
      <c r="L103" s="1962"/>
      <c r="M103" s="1963"/>
      <c r="N103" s="1490"/>
      <c r="O103" s="1489"/>
      <c r="P103" s="1489"/>
      <c r="Q103" s="1489"/>
      <c r="R103" s="1489"/>
      <c r="S103" s="1489"/>
    </row>
    <row r="104" spans="1:21" ht="32.25" customHeight="1" x14ac:dyDescent="0.25">
      <c r="A104" s="1964" t="s">
        <v>4307</v>
      </c>
      <c r="B104" s="1971" t="s">
        <v>7004</v>
      </c>
      <c r="C104" s="1972"/>
      <c r="D104" s="1972"/>
      <c r="E104" s="1972"/>
      <c r="F104" s="1973"/>
      <c r="G104" s="1549" t="s">
        <v>4306</v>
      </c>
      <c r="H104" s="1557" t="s">
        <v>4333</v>
      </c>
      <c r="I104" s="2007" t="s">
        <v>4305</v>
      </c>
      <c r="J104" s="2008"/>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965"/>
      <c r="B105" s="2101" t="str">
        <f>IF($O$1=0,"",IF($G$100&gt;=5000,"Response Required","Response Optional"))</f>
        <v>Response Required</v>
      </c>
      <c r="C105" s="2102"/>
      <c r="D105" s="2102"/>
      <c r="E105" s="2102"/>
      <c r="F105" s="2103"/>
      <c r="G105" s="1957" t="s">
        <v>4394</v>
      </c>
      <c r="H105" s="2066"/>
      <c r="I105" s="2056" t="s">
        <v>4394</v>
      </c>
      <c r="J105" s="2057"/>
      <c r="K105" s="2058"/>
      <c r="L105" s="1957" t="s">
        <v>4394</v>
      </c>
      <c r="M105" s="1958"/>
      <c r="N105" s="1490"/>
      <c r="O105" s="1489"/>
      <c r="P105" s="1489"/>
      <c r="Q105" s="1489"/>
      <c r="R105" s="1489"/>
      <c r="S105" s="1489"/>
      <c r="T105" s="1489"/>
      <c r="U105" s="1489"/>
    </row>
    <row r="106" spans="1:21" ht="32.25" customHeight="1" x14ac:dyDescent="0.25">
      <c r="A106" s="1965"/>
      <c r="B106" s="2101"/>
      <c r="C106" s="2102"/>
      <c r="D106" s="2102"/>
      <c r="E106" s="2102"/>
      <c r="F106" s="2103"/>
      <c r="G106" s="1550" t="s">
        <v>4304</v>
      </c>
      <c r="H106" s="1557"/>
      <c r="I106" s="2007" t="s">
        <v>4303</v>
      </c>
      <c r="J106" s="2008"/>
      <c r="K106" s="1557"/>
      <c r="L106" s="1504"/>
      <c r="M106" s="1503"/>
      <c r="N106" s="1490"/>
      <c r="O106" s="1489"/>
      <c r="P106" s="1489"/>
      <c r="Q106" s="1489"/>
      <c r="R106" s="1489"/>
      <c r="S106" s="1489"/>
      <c r="T106" s="1489"/>
      <c r="U106" s="1489"/>
    </row>
    <row r="107" spans="1:21" ht="25.5" customHeight="1" x14ac:dyDescent="0.25">
      <c r="A107" s="1966"/>
      <c r="B107" s="2104"/>
      <c r="C107" s="2105"/>
      <c r="D107" s="2105"/>
      <c r="E107" s="2105"/>
      <c r="F107" s="2106"/>
      <c r="G107" s="1957" t="s">
        <v>4394</v>
      </c>
      <c r="H107" s="2066"/>
      <c r="I107" s="2056" t="s">
        <v>4394</v>
      </c>
      <c r="J107" s="2057"/>
      <c r="K107" s="2058"/>
      <c r="L107" s="1502"/>
      <c r="M107" s="1501"/>
      <c r="N107" s="1490"/>
      <c r="O107" s="1489"/>
      <c r="P107" s="1489"/>
      <c r="Q107" s="1489"/>
      <c r="R107" s="1489"/>
      <c r="S107" s="1489"/>
      <c r="T107" s="1489"/>
      <c r="U107" s="1489"/>
    </row>
    <row r="108" spans="1:21" ht="47.25" customHeight="1" x14ac:dyDescent="0.25">
      <c r="A108" s="2079"/>
      <c r="B108" s="2108" t="s">
        <v>4302</v>
      </c>
      <c r="C108" s="2109"/>
      <c r="D108" s="2109"/>
      <c r="E108" s="2109"/>
      <c r="F108" s="2110"/>
      <c r="G108" s="2001"/>
      <c r="H108" s="2001"/>
      <c r="I108" s="2001"/>
      <c r="J108" s="2001"/>
      <c r="K108" s="2001"/>
      <c r="L108" s="2001"/>
      <c r="M108" s="2002"/>
      <c r="N108" s="1490">
        <f>IF(B109="",1,IF(AND(B109="Required",LEN(G108)&gt;10),1,0))</f>
        <v>1</v>
      </c>
      <c r="O108" s="1489"/>
      <c r="P108" s="1489"/>
      <c r="Q108" s="1496"/>
      <c r="R108" s="1496"/>
      <c r="S108" s="1496"/>
      <c r="T108" s="1496"/>
      <c r="U108" s="1489"/>
    </row>
    <row r="109" spans="1:21" ht="66" customHeight="1" x14ac:dyDescent="0.25">
      <c r="A109" s="2068"/>
      <c r="B109" s="2085" t="str">
        <f>IF(M104="Yes","Required","")</f>
        <v/>
      </c>
      <c r="C109" s="2086"/>
      <c r="D109" s="2086"/>
      <c r="E109" s="2086"/>
      <c r="F109" s="2087"/>
      <c r="G109" s="2080"/>
      <c r="H109" s="2080"/>
      <c r="I109" s="2080"/>
      <c r="J109" s="2080"/>
      <c r="K109" s="2080"/>
      <c r="L109" s="2080"/>
      <c r="M109" s="2081"/>
      <c r="N109" s="1490"/>
      <c r="O109" s="1489"/>
      <c r="P109" s="1489"/>
      <c r="Q109" s="1496"/>
      <c r="R109" s="1496"/>
      <c r="S109" s="1496"/>
      <c r="T109" s="1496"/>
    </row>
    <row r="110" spans="1:21" ht="6" customHeight="1" x14ac:dyDescent="0.25">
      <c r="A110" s="1959"/>
      <c r="B110" s="1960"/>
      <c r="C110" s="1960"/>
      <c r="D110" s="1960"/>
      <c r="E110" s="1960"/>
      <c r="F110" s="1960"/>
      <c r="G110" s="1961"/>
      <c r="H110" s="1961"/>
      <c r="I110" s="1961"/>
      <c r="J110" s="1961"/>
      <c r="K110" s="1961"/>
      <c r="L110" s="2054"/>
      <c r="M110" s="2055"/>
      <c r="N110" s="1490"/>
      <c r="O110" s="1489"/>
      <c r="P110" s="1489"/>
      <c r="Q110" s="1489"/>
      <c r="R110" s="1489"/>
      <c r="S110" s="1489"/>
    </row>
    <row r="111" spans="1:21" ht="32.25" customHeight="1" x14ac:dyDescent="0.25">
      <c r="A111" s="2065" t="s">
        <v>4301</v>
      </c>
      <c r="B111" s="2082" t="s">
        <v>7005</v>
      </c>
      <c r="C111" s="2082"/>
      <c r="D111" s="2082"/>
      <c r="E111" s="2082"/>
      <c r="F111" s="2082"/>
      <c r="G111" s="1552" t="s">
        <v>4300</v>
      </c>
      <c r="H111" s="1557"/>
      <c r="I111" s="2007" t="s">
        <v>4299</v>
      </c>
      <c r="J111" s="2008"/>
      <c r="K111" s="1557"/>
      <c r="L111" s="1552" t="s">
        <v>4298</v>
      </c>
      <c r="M111" s="1556" t="s">
        <v>4333</v>
      </c>
      <c r="N111" s="1490">
        <f>IF(B112="Response Optional",1,IF(AND(B112="Response Required",COUNTIF(H111:M113,"Yes")),1,0))</f>
        <v>1</v>
      </c>
      <c r="O111" s="1489"/>
      <c r="P111" s="1489"/>
      <c r="Q111" s="1489"/>
      <c r="R111" s="1489"/>
      <c r="S111" s="1489"/>
    </row>
    <row r="112" spans="1:21" ht="25.5" customHeight="1" x14ac:dyDescent="0.25">
      <c r="A112" s="1965"/>
      <c r="B112" s="2059" t="str">
        <f>IF($O$1=0,"",IF($G$101&gt;=5000,"Response Required","Response Optional"))</f>
        <v>Response Required</v>
      </c>
      <c r="C112" s="2060"/>
      <c r="D112" s="2060"/>
      <c r="E112" s="2060"/>
      <c r="F112" s="2061"/>
      <c r="G112" s="1957" t="s">
        <v>4394</v>
      </c>
      <c r="H112" s="2066"/>
      <c r="I112" s="2056" t="s">
        <v>4394</v>
      </c>
      <c r="J112" s="2057"/>
      <c r="K112" s="2058"/>
      <c r="L112" s="1957" t="s">
        <v>4394</v>
      </c>
      <c r="M112" s="1958"/>
      <c r="N112" s="1490"/>
      <c r="O112" s="1489"/>
      <c r="P112" s="1489"/>
      <c r="Q112" s="1489"/>
      <c r="R112" s="1489"/>
      <c r="S112" s="1489"/>
    </row>
    <row r="113" spans="1:20" ht="32.25" customHeight="1" x14ac:dyDescent="0.25">
      <c r="A113" s="1965"/>
      <c r="B113" s="2059"/>
      <c r="C113" s="2060"/>
      <c r="D113" s="2060"/>
      <c r="E113" s="2060"/>
      <c r="F113" s="2061"/>
      <c r="G113" s="1552" t="s">
        <v>4297</v>
      </c>
      <c r="H113" s="1557"/>
      <c r="I113" s="2007" t="s">
        <v>4296</v>
      </c>
      <c r="J113" s="2008"/>
      <c r="K113" s="1557"/>
      <c r="L113" s="1551" t="s">
        <v>4291</v>
      </c>
      <c r="M113" s="1556"/>
      <c r="N113" s="1490"/>
      <c r="O113" s="1489"/>
      <c r="P113" s="1489"/>
      <c r="Q113" s="1489"/>
      <c r="R113" s="1489"/>
      <c r="S113" s="1489"/>
    </row>
    <row r="114" spans="1:20" ht="25.5" customHeight="1" x14ac:dyDescent="0.25">
      <c r="A114" s="1966"/>
      <c r="B114" s="2062"/>
      <c r="C114" s="2063"/>
      <c r="D114" s="2063"/>
      <c r="E114" s="2063"/>
      <c r="F114" s="2064"/>
      <c r="G114" s="1957" t="s">
        <v>4394</v>
      </c>
      <c r="H114" s="2066"/>
      <c r="I114" s="2056" t="s">
        <v>4394</v>
      </c>
      <c r="J114" s="2057"/>
      <c r="K114" s="2058"/>
      <c r="L114" s="1957" t="s">
        <v>4394</v>
      </c>
      <c r="M114" s="1958"/>
      <c r="N114" s="1490"/>
      <c r="O114" s="1489"/>
      <c r="P114" s="1489"/>
      <c r="Q114" s="1489"/>
      <c r="R114" s="1489"/>
      <c r="S114" s="1489"/>
    </row>
    <row r="115" spans="1:20" ht="44.25" customHeight="1" x14ac:dyDescent="0.25">
      <c r="A115" s="2067"/>
      <c r="B115" s="2088" t="s">
        <v>7006</v>
      </c>
      <c r="C115" s="2089"/>
      <c r="D115" s="2089"/>
      <c r="E115" s="2089"/>
      <c r="F115" s="2089"/>
      <c r="G115" s="2001"/>
      <c r="H115" s="2001"/>
      <c r="I115" s="2001"/>
      <c r="J115" s="2001"/>
      <c r="K115" s="2001"/>
      <c r="L115" s="2001"/>
      <c r="M115" s="2002"/>
      <c r="N115" s="1490">
        <f>IF(B116="",1,IF(AND(B116="Required",LEN(G115)&gt;10),1,0))</f>
        <v>1</v>
      </c>
      <c r="O115" s="1489"/>
      <c r="P115" s="1489"/>
      <c r="Q115" s="1496"/>
      <c r="R115" s="1496"/>
      <c r="S115" s="1496"/>
      <c r="T115" s="1496"/>
    </row>
    <row r="116" spans="1:20" ht="66" customHeight="1" x14ac:dyDescent="0.25">
      <c r="A116" s="2068"/>
      <c r="B116" s="2085" t="str">
        <f>IF(M113="Yes","Required","")</f>
        <v/>
      </c>
      <c r="C116" s="2086"/>
      <c r="D116" s="2086"/>
      <c r="E116" s="2086"/>
      <c r="F116" s="2087"/>
      <c r="G116" s="2080"/>
      <c r="H116" s="2080"/>
      <c r="I116" s="2080"/>
      <c r="J116" s="2080"/>
      <c r="K116" s="2080"/>
      <c r="L116" s="2080"/>
      <c r="M116" s="2081"/>
      <c r="N116" s="1490"/>
      <c r="O116" s="1489"/>
      <c r="P116" s="1489"/>
      <c r="Q116" s="1496"/>
      <c r="R116" s="1496"/>
      <c r="S116" s="1496"/>
      <c r="T116" s="1496"/>
    </row>
    <row r="117" spans="1:20" ht="6" customHeight="1" x14ac:dyDescent="0.25">
      <c r="A117" s="1959"/>
      <c r="B117" s="1960"/>
      <c r="C117" s="1960"/>
      <c r="D117" s="1960"/>
      <c r="E117" s="1960"/>
      <c r="F117" s="1960"/>
      <c r="G117" s="1961"/>
      <c r="H117" s="1961"/>
      <c r="I117" s="1961"/>
      <c r="J117" s="1961"/>
      <c r="K117" s="1961"/>
      <c r="L117" s="2054"/>
      <c r="M117" s="2055"/>
      <c r="N117" s="1490"/>
      <c r="O117" s="1489"/>
      <c r="P117" s="1489"/>
      <c r="Q117" s="1489"/>
      <c r="R117" s="1489"/>
      <c r="S117" s="1489"/>
    </row>
    <row r="118" spans="1:20" ht="32.85" customHeight="1" x14ac:dyDescent="0.25">
      <c r="A118" s="2065" t="s">
        <v>4295</v>
      </c>
      <c r="B118" s="2082" t="s">
        <v>7007</v>
      </c>
      <c r="C118" s="2082"/>
      <c r="D118" s="2082"/>
      <c r="E118" s="2082"/>
      <c r="F118" s="2082"/>
      <c r="G118" s="1550" t="s">
        <v>4294</v>
      </c>
      <c r="H118" s="1558" t="s">
        <v>4333</v>
      </c>
      <c r="I118" s="2007" t="s">
        <v>4293</v>
      </c>
      <c r="J118" s="2008"/>
      <c r="K118" s="1558"/>
      <c r="L118" s="1500"/>
      <c r="M118" s="1499"/>
      <c r="N118" s="1490">
        <f>IF(B119="Response Optional",1,IF(AND(B119="Response Required",COUNTIF(H118:K120,"Yes")),1,0))</f>
        <v>1</v>
      </c>
      <c r="O118" s="1489"/>
      <c r="P118" s="1489"/>
      <c r="Q118" s="1489"/>
      <c r="R118" s="1489"/>
      <c r="S118" s="1489"/>
    </row>
    <row r="119" spans="1:20" ht="25.5" customHeight="1" x14ac:dyDescent="0.25">
      <c r="A119" s="1965"/>
      <c r="B119" s="2059" t="str">
        <f>IF($O$1=0,"",IF($G$102&gt;=5000,"Response Required","Response Optional"))</f>
        <v>Response Required</v>
      </c>
      <c r="C119" s="2060"/>
      <c r="D119" s="2060"/>
      <c r="E119" s="2060"/>
      <c r="F119" s="2061"/>
      <c r="G119" s="1957" t="s">
        <v>4394</v>
      </c>
      <c r="H119" s="2066"/>
      <c r="I119" s="2056" t="s">
        <v>4394</v>
      </c>
      <c r="J119" s="2057"/>
      <c r="K119" s="2058"/>
      <c r="L119" s="1500"/>
      <c r="M119" s="1499"/>
      <c r="N119" s="1490"/>
      <c r="O119" s="1489"/>
      <c r="P119" s="1489"/>
      <c r="Q119" s="1489"/>
      <c r="R119" s="1489"/>
      <c r="S119" s="1489"/>
    </row>
    <row r="120" spans="1:20" ht="32.85" customHeight="1" x14ac:dyDescent="0.25">
      <c r="A120" s="1965"/>
      <c r="B120" s="2059"/>
      <c r="C120" s="2060"/>
      <c r="D120" s="2060"/>
      <c r="E120" s="2060"/>
      <c r="F120" s="2061"/>
      <c r="G120" s="1550" t="s">
        <v>4292</v>
      </c>
      <c r="H120" s="1558"/>
      <c r="I120" s="2007" t="s">
        <v>4291</v>
      </c>
      <c r="J120" s="2008"/>
      <c r="K120" s="1558"/>
      <c r="L120" s="1500"/>
      <c r="M120" s="1499"/>
      <c r="N120" s="1490"/>
      <c r="O120" s="1489"/>
      <c r="P120" s="1489"/>
      <c r="Q120" s="1489"/>
      <c r="R120" s="1489"/>
      <c r="S120" s="1489"/>
    </row>
    <row r="121" spans="1:20" ht="25.5" customHeight="1" x14ac:dyDescent="0.25">
      <c r="A121" s="1966"/>
      <c r="B121" s="2062"/>
      <c r="C121" s="2063"/>
      <c r="D121" s="2063"/>
      <c r="E121" s="2063"/>
      <c r="F121" s="2064"/>
      <c r="G121" s="1957" t="s">
        <v>4394</v>
      </c>
      <c r="H121" s="2066"/>
      <c r="I121" s="2056" t="s">
        <v>4394</v>
      </c>
      <c r="J121" s="2057"/>
      <c r="K121" s="2058"/>
      <c r="L121" s="1498"/>
      <c r="M121" s="1497"/>
      <c r="N121" s="1490"/>
      <c r="O121" s="1489"/>
      <c r="P121" s="1489"/>
      <c r="Q121" s="1489"/>
      <c r="R121" s="1489"/>
      <c r="S121" s="1489"/>
    </row>
    <row r="122" spans="1:20" ht="45" customHeight="1" x14ac:dyDescent="0.25">
      <c r="A122" s="1941"/>
      <c r="B122" s="2069" t="s">
        <v>4290</v>
      </c>
      <c r="C122" s="1897"/>
      <c r="D122" s="1897"/>
      <c r="E122" s="1897"/>
      <c r="F122" s="1898"/>
      <c r="G122" s="2083"/>
      <c r="H122" s="2001"/>
      <c r="I122" s="2001"/>
      <c r="J122" s="2001"/>
      <c r="K122" s="2001"/>
      <c r="L122" s="2001"/>
      <c r="M122" s="2002"/>
      <c r="N122" s="1490">
        <f>IF(B123="",1,IF(AND(B123="Required",LEN(G122)&gt;10),1,0))</f>
        <v>1</v>
      </c>
      <c r="O122" s="1489"/>
      <c r="P122" s="1489"/>
      <c r="Q122" s="1496"/>
      <c r="R122" s="1496"/>
      <c r="S122" s="1496"/>
      <c r="T122" s="1496"/>
    </row>
    <row r="123" spans="1:20" ht="66" customHeight="1" x14ac:dyDescent="0.25">
      <c r="A123" s="2005"/>
      <c r="B123" s="1899" t="str">
        <f>IF(K120="Yes","Required","")</f>
        <v/>
      </c>
      <c r="C123" s="1900"/>
      <c r="D123" s="1900"/>
      <c r="E123" s="1900"/>
      <c r="F123" s="1901"/>
      <c r="G123" s="2084"/>
      <c r="H123" s="2080"/>
      <c r="I123" s="2080"/>
      <c r="J123" s="2080"/>
      <c r="K123" s="2080"/>
      <c r="L123" s="2080"/>
      <c r="M123" s="2081"/>
      <c r="N123" s="1490"/>
      <c r="O123" s="1489"/>
      <c r="P123" s="1489"/>
      <c r="Q123" s="1496"/>
      <c r="R123" s="1496"/>
      <c r="S123" s="1496"/>
      <c r="T123" s="1496"/>
    </row>
    <row r="124" spans="1:20" ht="6" customHeight="1" x14ac:dyDescent="0.25">
      <c r="A124" s="1959"/>
      <c r="B124" s="1960"/>
      <c r="C124" s="1960"/>
      <c r="D124" s="1960"/>
      <c r="E124" s="1960"/>
      <c r="F124" s="1960"/>
      <c r="G124" s="1961"/>
      <c r="H124" s="1961"/>
      <c r="I124" s="1961"/>
      <c r="J124" s="1961"/>
      <c r="K124" s="1961"/>
      <c r="L124" s="2054"/>
      <c r="M124" s="2055"/>
      <c r="N124" s="1490"/>
      <c r="O124" s="1489"/>
      <c r="P124" s="1489"/>
      <c r="Q124" s="1489"/>
      <c r="R124" s="1489"/>
      <c r="S124" s="1489"/>
    </row>
    <row r="125" spans="1:20" ht="20.25" customHeight="1" x14ac:dyDescent="0.25">
      <c r="A125" s="1974" t="s">
        <v>4289</v>
      </c>
      <c r="B125" s="1975"/>
      <c r="C125" s="1975"/>
      <c r="D125" s="1975"/>
      <c r="E125" s="1975"/>
      <c r="F125" s="1975"/>
      <c r="G125" s="1975"/>
      <c r="H125" s="1975"/>
      <c r="I125" s="1975"/>
      <c r="J125" s="1975"/>
      <c r="K125" s="1975"/>
      <c r="L125" s="1975"/>
      <c r="M125" s="1976"/>
      <c r="N125" s="1490"/>
      <c r="O125" s="1489"/>
      <c r="P125" s="1489"/>
      <c r="Q125" s="1489"/>
      <c r="R125" s="1489"/>
      <c r="S125" s="1489"/>
    </row>
    <row r="126" spans="1:20" ht="50.25" customHeight="1" x14ac:dyDescent="0.25">
      <c r="A126" s="1977" t="s">
        <v>7008</v>
      </c>
      <c r="B126" s="1978"/>
      <c r="C126" s="1978"/>
      <c r="D126" s="1978"/>
      <c r="E126" s="1978"/>
      <c r="F126" s="1978"/>
      <c r="G126" s="1978"/>
      <c r="H126" s="1978"/>
      <c r="I126" s="1978"/>
      <c r="J126" s="1978"/>
      <c r="K126" s="1978"/>
      <c r="L126" s="1978"/>
      <c r="M126" s="1979"/>
      <c r="N126" s="1490"/>
      <c r="O126" s="1489"/>
      <c r="P126" s="1489"/>
      <c r="Q126" s="1489"/>
      <c r="R126" s="1489"/>
      <c r="S126" s="1489"/>
    </row>
    <row r="127" spans="1:20" ht="22.5" customHeight="1" x14ac:dyDescent="0.25">
      <c r="A127" s="2097" t="s">
        <v>7009</v>
      </c>
      <c r="B127" s="2098"/>
      <c r="C127" s="2098"/>
      <c r="D127" s="2098"/>
      <c r="E127" s="2098"/>
      <c r="F127" s="2098"/>
      <c r="G127" s="2098"/>
      <c r="H127" s="2098"/>
      <c r="I127" s="2098"/>
      <c r="J127" s="2098"/>
      <c r="K127" s="2098"/>
      <c r="L127" s="2098"/>
      <c r="M127" s="2099"/>
      <c r="N127" s="1490"/>
      <c r="O127" s="1489"/>
      <c r="P127" s="1489"/>
      <c r="Q127" s="1489"/>
      <c r="R127" s="1489"/>
      <c r="S127" s="1489"/>
    </row>
    <row r="128" spans="1:20" ht="15" customHeight="1" x14ac:dyDescent="0.25">
      <c r="A128" s="1495"/>
      <c r="D128" s="2107" t="s">
        <v>7010</v>
      </c>
      <c r="E128" s="2094"/>
      <c r="F128" s="2094"/>
      <c r="G128" s="2094"/>
      <c r="H128" s="2094"/>
      <c r="I128" s="2094"/>
      <c r="J128" s="2094"/>
      <c r="K128" s="2094"/>
      <c r="L128" s="2094"/>
      <c r="M128" s="2095"/>
      <c r="N128" s="1490"/>
      <c r="O128" s="1489"/>
      <c r="P128" s="1489"/>
      <c r="Q128" s="1489"/>
      <c r="R128" s="1489"/>
      <c r="S128" s="1489"/>
    </row>
    <row r="129" spans="1:19" ht="18" customHeight="1" x14ac:dyDescent="0.25">
      <c r="A129" s="1495"/>
      <c r="C129" s="1616"/>
      <c r="D129" s="2094"/>
      <c r="E129" s="2094"/>
      <c r="F129" s="2094"/>
      <c r="G129" s="2094"/>
      <c r="H129" s="2094"/>
      <c r="I129" s="2094"/>
      <c r="J129" s="2094"/>
      <c r="K129" s="2094"/>
      <c r="L129" s="2094"/>
      <c r="M129" s="2095"/>
      <c r="N129" s="1490"/>
      <c r="O129" s="1489"/>
      <c r="P129" s="1489"/>
      <c r="Q129" s="1489"/>
      <c r="R129" s="1489"/>
      <c r="S129" s="1489"/>
    </row>
    <row r="130" spans="1:19" ht="18" customHeight="1" x14ac:dyDescent="0.25">
      <c r="A130" s="1495"/>
      <c r="C130" s="1617"/>
      <c r="D130" s="1618" t="str">
        <f>IF(G101="[Enter $]","",IF($G$101&gt;=1,"Required","N/A"))</f>
        <v>Required</v>
      </c>
      <c r="E130" s="1558" t="s">
        <v>4333</v>
      </c>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2093" t="s">
        <v>7224</v>
      </c>
      <c r="E131" s="2094"/>
      <c r="F131" s="2094"/>
      <c r="G131" s="2094"/>
      <c r="H131" s="2094"/>
      <c r="I131" s="2094"/>
      <c r="J131" s="2094"/>
      <c r="K131" s="2094"/>
      <c r="L131" s="2094"/>
      <c r="M131" s="2095"/>
      <c r="N131" s="1490"/>
      <c r="O131" s="1489"/>
      <c r="P131" s="1489"/>
      <c r="Q131" s="1489"/>
      <c r="R131" s="1489"/>
      <c r="S131" s="1489"/>
    </row>
    <row r="132" spans="1:19" ht="18" customHeight="1" x14ac:dyDescent="0.25">
      <c r="A132" s="1495"/>
      <c r="C132" s="1616"/>
      <c r="D132" s="2094"/>
      <c r="E132" s="2094"/>
      <c r="F132" s="2094"/>
      <c r="G132" s="2094"/>
      <c r="H132" s="2094"/>
      <c r="I132" s="2094"/>
      <c r="J132" s="2094"/>
      <c r="K132" s="2094"/>
      <c r="L132" s="2094"/>
      <c r="M132" s="2095"/>
      <c r="N132" s="1490"/>
      <c r="O132" s="1489"/>
      <c r="P132" s="1489"/>
      <c r="Q132" s="1489"/>
      <c r="R132" s="1489"/>
      <c r="S132" s="1489"/>
    </row>
    <row r="133" spans="1:19" ht="18" customHeight="1" x14ac:dyDescent="0.25">
      <c r="A133" s="1495"/>
      <c r="C133" s="1619"/>
      <c r="D133" s="1618" t="str">
        <f>IF(G101="[Enter $]","",IF($G$101&gt;=0,"Required","N/A"))</f>
        <v>Required</v>
      </c>
      <c r="E133" s="1558" t="s">
        <v>4333</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Required</v>
      </c>
      <c r="E135" s="1558" t="s">
        <v>4333</v>
      </c>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2096" t="str">
        <f>IF($E$133=0,"",IF($E$133="Yes","Required","N/A"))</f>
        <v>Required</v>
      </c>
      <c r="E137" s="1553" t="s">
        <v>4287</v>
      </c>
      <c r="F137" s="2100">
        <v>45250</v>
      </c>
      <c r="G137" s="2091"/>
      <c r="M137" s="1494"/>
      <c r="N137" s="1490">
        <f>IF(OR(D137="",D137="N/A"),1,IF(AND(D137="Required",F137&lt;&gt;""),1,0))</f>
        <v>1</v>
      </c>
      <c r="O137" s="1489"/>
      <c r="P137" s="1489"/>
      <c r="Q137" s="1489"/>
      <c r="R137" s="1489"/>
      <c r="S137" s="1489"/>
    </row>
    <row r="138" spans="1:19" x14ac:dyDescent="0.25">
      <c r="A138" s="1495"/>
      <c r="D138" s="2096"/>
      <c r="E138" s="1553" t="s">
        <v>4286</v>
      </c>
      <c r="F138" s="2090" t="s">
        <v>7254</v>
      </c>
      <c r="G138" s="2091"/>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2074" t="s">
        <v>4285</v>
      </c>
      <c r="C141" s="2074"/>
      <c r="D141" s="2074"/>
      <c r="E141" s="2074"/>
      <c r="F141" s="2074"/>
      <c r="G141" s="2074"/>
      <c r="H141" s="2074"/>
      <c r="I141" s="2074"/>
      <c r="J141" s="2074"/>
      <c r="K141" s="2074"/>
      <c r="L141" s="2074"/>
      <c r="M141" s="2075"/>
      <c r="N141" s="1489"/>
      <c r="O141" s="1489"/>
      <c r="P141" s="1489"/>
      <c r="Q141" s="1489"/>
      <c r="R141" s="1489"/>
      <c r="S141" s="1489"/>
    </row>
    <row r="142" spans="1:19" ht="29.25" customHeight="1" x14ac:dyDescent="0.25">
      <c r="A142" s="2076" t="s">
        <v>4284</v>
      </c>
      <c r="B142" s="2077"/>
      <c r="C142" s="2077"/>
      <c r="D142" s="2077"/>
      <c r="E142" s="2077"/>
      <c r="F142" s="2077"/>
      <c r="G142" s="2077"/>
      <c r="H142" s="2077"/>
      <c r="I142" s="2077"/>
      <c r="J142" s="2077"/>
      <c r="K142" s="2077"/>
      <c r="L142" s="2077"/>
      <c r="M142" s="2078"/>
      <c r="N142" s="1489"/>
      <c r="O142" s="1489"/>
      <c r="P142" s="1489"/>
      <c r="Q142" s="1489"/>
      <c r="R142" s="1489"/>
      <c r="S142" s="1489"/>
    </row>
    <row r="143" spans="1:19" x14ac:dyDescent="0.25">
      <c r="A143" s="2092" t="s">
        <v>4283</v>
      </c>
      <c r="B143" s="2072"/>
      <c r="C143" s="2072"/>
      <c r="D143" s="2072"/>
      <c r="E143" s="1554" t="s">
        <v>4282</v>
      </c>
      <c r="F143" s="2072" t="s">
        <v>4281</v>
      </c>
      <c r="G143" s="2072"/>
      <c r="H143" s="2072"/>
      <c r="I143" s="2072"/>
      <c r="J143" s="2072"/>
      <c r="K143" s="2072"/>
      <c r="L143" s="2072"/>
      <c r="M143" s="2073"/>
      <c r="N143" s="1489"/>
      <c r="O143" s="1489"/>
      <c r="P143" s="1489"/>
      <c r="Q143" s="1489"/>
      <c r="R143" s="1489"/>
      <c r="S143" s="1489"/>
    </row>
    <row r="144" spans="1:19" x14ac:dyDescent="0.25">
      <c r="A144" s="1811" t="s">
        <v>4280</v>
      </c>
      <c r="B144" s="1812"/>
      <c r="C144" s="1812"/>
      <c r="D144" s="1812"/>
      <c r="E144" s="1488" t="str">
        <f>IF(N7=1,"Complete","Incomplete")</f>
        <v>Complete</v>
      </c>
      <c r="F144" s="2052" t="s">
        <v>4279</v>
      </c>
      <c r="G144" s="2052"/>
      <c r="H144" s="2052"/>
      <c r="I144" s="2052"/>
      <c r="J144" s="2052"/>
      <c r="K144" s="2052"/>
      <c r="L144" s="2052"/>
      <c r="M144" s="2053"/>
      <c r="N144" s="1489"/>
      <c r="O144" s="1489"/>
      <c r="P144" s="1489"/>
      <c r="Q144" s="1489"/>
      <c r="R144" s="1489"/>
      <c r="S144" s="1489"/>
    </row>
    <row r="145" spans="1:19" x14ac:dyDescent="0.25">
      <c r="A145" s="1811" t="s">
        <v>4278</v>
      </c>
      <c r="B145" s="1812"/>
      <c r="C145" s="1812"/>
      <c r="D145" s="1812"/>
      <c r="E145" s="1488" t="str">
        <f>IF(N11=1,"Complete","Incomplete")</f>
        <v>Complete</v>
      </c>
      <c r="F145" s="2052" t="s">
        <v>7018</v>
      </c>
      <c r="G145" s="2052"/>
      <c r="H145" s="2052"/>
      <c r="I145" s="2052"/>
      <c r="J145" s="2052"/>
      <c r="K145" s="2052"/>
      <c r="L145" s="2052"/>
      <c r="M145" s="2053"/>
      <c r="N145" s="1489"/>
      <c r="O145" s="1489"/>
      <c r="P145" s="1489"/>
      <c r="Q145" s="1489"/>
      <c r="R145" s="1489"/>
      <c r="S145" s="1489"/>
    </row>
    <row r="146" spans="1:19" x14ac:dyDescent="0.25">
      <c r="A146" s="1811" t="s">
        <v>4277</v>
      </c>
      <c r="B146" s="1812"/>
      <c r="C146" s="1812"/>
      <c r="D146" s="1812"/>
      <c r="E146" s="1488" t="str">
        <f>IF(N13=1,"Complete","Incomplete")</f>
        <v>Complete</v>
      </c>
      <c r="F146" s="2052" t="s">
        <v>4276</v>
      </c>
      <c r="G146" s="2052"/>
      <c r="H146" s="2052"/>
      <c r="I146" s="2052"/>
      <c r="J146" s="2052"/>
      <c r="K146" s="2052"/>
      <c r="L146" s="2052"/>
      <c r="M146" s="2053"/>
      <c r="N146" s="1489"/>
      <c r="O146" s="1489"/>
      <c r="P146" s="1489"/>
      <c r="Q146" s="1489"/>
      <c r="R146" s="1489"/>
      <c r="S146" s="1489"/>
    </row>
    <row r="147" spans="1:19" x14ac:dyDescent="0.25">
      <c r="A147" s="1811" t="s">
        <v>4275</v>
      </c>
      <c r="B147" s="1812"/>
      <c r="C147" s="1812"/>
      <c r="D147" s="1812"/>
      <c r="E147" s="1488" t="str">
        <f>IF(N31=1,"Complete","Incomplete")</f>
        <v>Complete</v>
      </c>
      <c r="F147" s="2052" t="s">
        <v>7225</v>
      </c>
      <c r="G147" s="2052"/>
      <c r="H147" s="2052"/>
      <c r="I147" s="2052"/>
      <c r="J147" s="2052"/>
      <c r="K147" s="2052"/>
      <c r="L147" s="2052"/>
      <c r="M147" s="2053"/>
      <c r="N147" s="1489"/>
      <c r="O147" s="1489"/>
      <c r="P147" s="1489"/>
      <c r="Q147" s="1489"/>
      <c r="R147" s="1489"/>
      <c r="S147" s="1489"/>
    </row>
    <row r="148" spans="1:19" x14ac:dyDescent="0.25">
      <c r="A148" s="1811" t="s">
        <v>4274</v>
      </c>
      <c r="B148" s="1812"/>
      <c r="C148" s="1812"/>
      <c r="D148" s="1812"/>
      <c r="E148" s="1488" t="str">
        <f>IF(N35=1,"Complete","Incomplete")</f>
        <v>Complete</v>
      </c>
      <c r="F148" s="2052" t="s">
        <v>7019</v>
      </c>
      <c r="G148" s="2052"/>
      <c r="H148" s="2052"/>
      <c r="I148" s="2052"/>
      <c r="J148" s="2052"/>
      <c r="K148" s="2052"/>
      <c r="L148" s="2052"/>
      <c r="M148" s="2053"/>
      <c r="O148" s="1489"/>
      <c r="P148" s="1489"/>
      <c r="Q148" s="1489"/>
      <c r="R148" s="1489"/>
      <c r="S148" s="1489"/>
    </row>
    <row r="149" spans="1:19" x14ac:dyDescent="0.25">
      <c r="A149" s="1811" t="s">
        <v>4273</v>
      </c>
      <c r="B149" s="1812"/>
      <c r="C149" s="1812"/>
      <c r="D149" s="1812"/>
      <c r="E149" s="1488" t="str">
        <f>IF(N37=1,"Complete","Incomplete")</f>
        <v>Complete</v>
      </c>
      <c r="F149" s="2052" t="s">
        <v>4256</v>
      </c>
      <c r="G149" s="2052"/>
      <c r="H149" s="2052"/>
      <c r="I149" s="2052"/>
      <c r="J149" s="2052"/>
      <c r="K149" s="2052"/>
      <c r="L149" s="2052"/>
      <c r="M149" s="2053"/>
      <c r="O149" s="1489"/>
      <c r="P149" s="1489"/>
      <c r="Q149" s="1489"/>
      <c r="R149" s="1489"/>
      <c r="S149" s="1489"/>
    </row>
    <row r="150" spans="1:19" x14ac:dyDescent="0.25">
      <c r="A150" s="1811" t="s">
        <v>4272</v>
      </c>
      <c r="B150" s="1812"/>
      <c r="C150" s="1812"/>
      <c r="D150" s="1812"/>
      <c r="E150" s="1488" t="str">
        <f>IF(N43=1,"Complete","Incomplete")</f>
        <v>Complete</v>
      </c>
      <c r="F150" s="2052" t="s">
        <v>4271</v>
      </c>
      <c r="G150" s="2052"/>
      <c r="H150" s="2052"/>
      <c r="I150" s="2052"/>
      <c r="J150" s="2052"/>
      <c r="K150" s="2052"/>
      <c r="L150" s="2052"/>
      <c r="M150" s="2053"/>
      <c r="O150" s="1489"/>
      <c r="P150" s="1489"/>
      <c r="Q150" s="1489"/>
      <c r="R150" s="1489"/>
      <c r="S150" s="1489"/>
    </row>
    <row r="151" spans="1:19" x14ac:dyDescent="0.25">
      <c r="A151" s="1811" t="s">
        <v>4270</v>
      </c>
      <c r="B151" s="1812"/>
      <c r="C151" s="1812"/>
      <c r="D151" s="1812"/>
      <c r="E151" s="1488" t="str">
        <f>IF(N44=1,"Complete","Incomplete")</f>
        <v>Complete</v>
      </c>
      <c r="F151" s="2052" t="s">
        <v>4269</v>
      </c>
      <c r="G151" s="2052"/>
      <c r="H151" s="2052"/>
      <c r="I151" s="2052"/>
      <c r="J151" s="2052"/>
      <c r="K151" s="2052"/>
      <c r="L151" s="2052"/>
      <c r="M151" s="2053"/>
      <c r="O151" s="1489"/>
      <c r="P151" s="1489"/>
      <c r="Q151" s="1489"/>
      <c r="R151" s="1489"/>
      <c r="S151" s="1489"/>
    </row>
    <row r="152" spans="1:19" x14ac:dyDescent="0.25">
      <c r="A152" s="1811" t="s">
        <v>4268</v>
      </c>
      <c r="B152" s="1812"/>
      <c r="C152" s="1812"/>
      <c r="D152" s="1812"/>
      <c r="E152" s="1488" t="str">
        <f>IF(N90=1,"Complete","Incomplete")</f>
        <v>Complete</v>
      </c>
      <c r="F152" s="2052" t="s">
        <v>4267</v>
      </c>
      <c r="G152" s="2052"/>
      <c r="H152" s="2052"/>
      <c r="I152" s="2052"/>
      <c r="J152" s="2052"/>
      <c r="K152" s="2052"/>
      <c r="L152" s="2052"/>
      <c r="M152" s="2053"/>
      <c r="O152" s="1489"/>
      <c r="P152" s="1489"/>
      <c r="Q152" s="1489"/>
      <c r="R152" s="1489"/>
      <c r="S152" s="1489"/>
    </row>
    <row r="153" spans="1:19" x14ac:dyDescent="0.25">
      <c r="A153" s="1811" t="s">
        <v>4266</v>
      </c>
      <c r="B153" s="1812"/>
      <c r="C153" s="1812"/>
      <c r="D153" s="1812"/>
      <c r="E153" s="1488" t="str">
        <f>IF(N93=1,"Complete","Incomplete")</f>
        <v>Complete</v>
      </c>
      <c r="F153" s="2052" t="s">
        <v>4265</v>
      </c>
      <c r="G153" s="2052"/>
      <c r="H153" s="2052"/>
      <c r="I153" s="2052"/>
      <c r="J153" s="2052"/>
      <c r="K153" s="2052"/>
      <c r="L153" s="2052"/>
      <c r="M153" s="2053"/>
    </row>
    <row r="154" spans="1:19" x14ac:dyDescent="0.25">
      <c r="A154" s="1815" t="s">
        <v>4264</v>
      </c>
      <c r="B154" s="1816"/>
      <c r="C154" s="1816"/>
      <c r="D154" s="1817"/>
      <c r="E154" s="1488" t="str">
        <f>IF(N100=1,"Complete","Incomplete")</f>
        <v>Complete</v>
      </c>
      <c r="F154" s="2052" t="s">
        <v>7012</v>
      </c>
      <c r="G154" s="2052"/>
      <c r="H154" s="2052"/>
      <c r="I154" s="2052"/>
      <c r="J154" s="2052"/>
      <c r="K154" s="2052"/>
      <c r="L154" s="2052"/>
      <c r="M154" s="2053"/>
    </row>
    <row r="155" spans="1:19" x14ac:dyDescent="0.25">
      <c r="A155" s="1815" t="s">
        <v>4263</v>
      </c>
      <c r="B155" s="1816"/>
      <c r="C155" s="1816"/>
      <c r="D155" s="1817"/>
      <c r="E155" s="1488" t="str">
        <f>IF(N101=1,"Complete","Incomplete")</f>
        <v>Complete</v>
      </c>
      <c r="F155" s="2052" t="s">
        <v>7013</v>
      </c>
      <c r="G155" s="2052"/>
      <c r="H155" s="2052"/>
      <c r="I155" s="2052"/>
      <c r="J155" s="2052"/>
      <c r="K155" s="2052"/>
      <c r="L155" s="2052"/>
      <c r="M155" s="2053"/>
    </row>
    <row r="156" spans="1:19" x14ac:dyDescent="0.25">
      <c r="A156" s="1815" t="s">
        <v>4262</v>
      </c>
      <c r="B156" s="1816"/>
      <c r="C156" s="1816"/>
      <c r="D156" s="1817"/>
      <c r="E156" s="1488" t="str">
        <f>IF(N102=1,"Complete","Incomplete")</f>
        <v>Complete</v>
      </c>
      <c r="F156" s="2052" t="s">
        <v>7014</v>
      </c>
      <c r="G156" s="2052"/>
      <c r="H156" s="2052"/>
      <c r="I156" s="2052"/>
      <c r="J156" s="2052"/>
      <c r="K156" s="2052"/>
      <c r="L156" s="2052"/>
      <c r="M156" s="2053"/>
    </row>
    <row r="157" spans="1:19" x14ac:dyDescent="0.25">
      <c r="A157" s="1811" t="s">
        <v>4261</v>
      </c>
      <c r="B157" s="1812"/>
      <c r="C157" s="1812"/>
      <c r="D157" s="1812"/>
      <c r="E157" s="1488" t="str">
        <f>IF(N104=1,"Complete","Incomplete")</f>
        <v>Complete</v>
      </c>
      <c r="F157" s="2052" t="s">
        <v>4256</v>
      </c>
      <c r="G157" s="2052"/>
      <c r="H157" s="2052"/>
      <c r="I157" s="2052"/>
      <c r="J157" s="2052"/>
      <c r="K157" s="2052"/>
      <c r="L157" s="2052"/>
      <c r="M157" s="2053"/>
    </row>
    <row r="158" spans="1:19" x14ac:dyDescent="0.25">
      <c r="A158" s="1811" t="s">
        <v>4260</v>
      </c>
      <c r="B158" s="1812"/>
      <c r="C158" s="1812"/>
      <c r="D158" s="1812"/>
      <c r="E158" s="1488" t="str">
        <f>IF(N108=1,"Complete","Incomplete")</f>
        <v>Complete</v>
      </c>
      <c r="F158" s="2052" t="s">
        <v>4254</v>
      </c>
      <c r="G158" s="2052"/>
      <c r="H158" s="2052"/>
      <c r="I158" s="2052"/>
      <c r="J158" s="2052"/>
      <c r="K158" s="2052"/>
      <c r="L158" s="2052"/>
      <c r="M158" s="2053"/>
    </row>
    <row r="159" spans="1:19" x14ac:dyDescent="0.25">
      <c r="A159" s="1811" t="s">
        <v>4259</v>
      </c>
      <c r="B159" s="1812"/>
      <c r="C159" s="1812"/>
      <c r="D159" s="1812"/>
      <c r="E159" s="1488" t="str">
        <f>IF(N111=1,"Complete","Incomplete")</f>
        <v>Complete</v>
      </c>
      <c r="F159" s="2052" t="s">
        <v>4256</v>
      </c>
      <c r="G159" s="2052"/>
      <c r="H159" s="2052"/>
      <c r="I159" s="2052"/>
      <c r="J159" s="2052"/>
      <c r="K159" s="2052"/>
      <c r="L159" s="2052"/>
      <c r="M159" s="2053"/>
    </row>
    <row r="160" spans="1:19" x14ac:dyDescent="0.25">
      <c r="A160" s="1811" t="s">
        <v>4258</v>
      </c>
      <c r="B160" s="1812"/>
      <c r="C160" s="1812"/>
      <c r="D160" s="1812"/>
      <c r="E160" s="1488" t="str">
        <f>IF(N115=1,"Complete","Incomplete")</f>
        <v>Complete</v>
      </c>
      <c r="F160" s="2052" t="s">
        <v>4254</v>
      </c>
      <c r="G160" s="2052"/>
      <c r="H160" s="2052"/>
      <c r="I160" s="2052"/>
      <c r="J160" s="2052"/>
      <c r="K160" s="2052"/>
      <c r="L160" s="2052"/>
      <c r="M160" s="2053"/>
    </row>
    <row r="161" spans="1:13" x14ac:dyDescent="0.25">
      <c r="A161" s="1811" t="s">
        <v>4257</v>
      </c>
      <c r="B161" s="1812"/>
      <c r="C161" s="1812"/>
      <c r="D161" s="1812"/>
      <c r="E161" s="1488" t="str">
        <f>IF(N118=1,"Complete","Incomplete")</f>
        <v>Complete</v>
      </c>
      <c r="F161" s="2052" t="s">
        <v>4256</v>
      </c>
      <c r="G161" s="2052"/>
      <c r="H161" s="2052"/>
      <c r="I161" s="2052"/>
      <c r="J161" s="2052"/>
      <c r="K161" s="2052"/>
      <c r="L161" s="2052"/>
      <c r="M161" s="2053"/>
    </row>
    <row r="162" spans="1:13" x14ac:dyDescent="0.25">
      <c r="A162" s="1811" t="s">
        <v>4255</v>
      </c>
      <c r="B162" s="1812"/>
      <c r="C162" s="1812"/>
      <c r="D162" s="1812"/>
      <c r="E162" s="1488" t="str">
        <f>IF(N122=1,"Complete","Incomplete")</f>
        <v>Complete</v>
      </c>
      <c r="F162" s="2052" t="s">
        <v>4254</v>
      </c>
      <c r="G162" s="2052"/>
      <c r="H162" s="2052"/>
      <c r="I162" s="2052"/>
      <c r="J162" s="2052"/>
      <c r="K162" s="2052"/>
      <c r="L162" s="2052"/>
      <c r="M162" s="2053"/>
    </row>
    <row r="163" spans="1:13" x14ac:dyDescent="0.25">
      <c r="A163" s="1811" t="s">
        <v>4253</v>
      </c>
      <c r="B163" s="1812"/>
      <c r="C163" s="1812"/>
      <c r="D163" s="1812"/>
      <c r="E163" s="1488" t="str">
        <f>IF(N130=1,"Complete","Incomplete")</f>
        <v>Complete</v>
      </c>
      <c r="F163" s="2052" t="s">
        <v>7015</v>
      </c>
      <c r="G163" s="2052"/>
      <c r="H163" s="2052"/>
      <c r="I163" s="2052"/>
      <c r="J163" s="2052"/>
      <c r="K163" s="2052"/>
      <c r="L163" s="2052"/>
      <c r="M163" s="2053"/>
    </row>
    <row r="164" spans="1:13" x14ac:dyDescent="0.25">
      <c r="A164" s="1811" t="s">
        <v>4252</v>
      </c>
      <c r="B164" s="1812"/>
      <c r="C164" s="1812"/>
      <c r="D164" s="1812"/>
      <c r="E164" s="1488" t="str">
        <f>IF(N133=1,"Complete","Incomplete")</f>
        <v>Complete</v>
      </c>
      <c r="F164" s="2052" t="s">
        <v>7015</v>
      </c>
      <c r="G164" s="2052"/>
      <c r="H164" s="2052"/>
      <c r="I164" s="2052"/>
      <c r="J164" s="2052"/>
      <c r="K164" s="2052"/>
      <c r="L164" s="2052"/>
      <c r="M164" s="2053"/>
    </row>
    <row r="165" spans="1:13" x14ac:dyDescent="0.25">
      <c r="A165" s="1811" t="s">
        <v>4251</v>
      </c>
      <c r="B165" s="1812"/>
      <c r="C165" s="1812"/>
      <c r="D165" s="1812"/>
      <c r="E165" s="1488" t="str">
        <f>IF(N135=1,"Complete","Incomplete")</f>
        <v>Complete</v>
      </c>
      <c r="F165" s="2052" t="s">
        <v>7016</v>
      </c>
      <c r="G165" s="2052"/>
      <c r="H165" s="2052"/>
      <c r="I165" s="2052"/>
      <c r="J165" s="2052"/>
      <c r="K165" s="2052"/>
      <c r="L165" s="2052"/>
      <c r="M165" s="2053"/>
    </row>
    <row r="166" spans="1:13" x14ac:dyDescent="0.25">
      <c r="A166" s="1811" t="s">
        <v>4250</v>
      </c>
      <c r="B166" s="1812"/>
      <c r="C166" s="1812"/>
      <c r="D166" s="1812"/>
      <c r="E166" s="1488" t="str">
        <f>IF(N137=1,"Complete","Incomplete")</f>
        <v>Complete</v>
      </c>
      <c r="F166" s="2052" t="s">
        <v>7017</v>
      </c>
      <c r="G166" s="2052"/>
      <c r="H166" s="2052"/>
      <c r="I166" s="2052"/>
      <c r="J166" s="2052"/>
      <c r="K166" s="2052"/>
      <c r="L166" s="2052"/>
      <c r="M166" s="2053"/>
    </row>
    <row r="167" spans="1:13" ht="15.75" thickBot="1" x14ac:dyDescent="0.3">
      <c r="A167" s="1813" t="s">
        <v>7226</v>
      </c>
      <c r="B167" s="1814"/>
      <c r="C167" s="1814"/>
      <c r="D167" s="1814"/>
      <c r="E167" s="1487" t="str">
        <f>IF(N138=1,"Complete","Incomplete")</f>
        <v>Complete</v>
      </c>
      <c r="F167" s="2070" t="s">
        <v>7016</v>
      </c>
      <c r="G167" s="2070"/>
      <c r="H167" s="2070"/>
      <c r="I167" s="2070"/>
      <c r="J167" s="2070"/>
      <c r="K167" s="2070"/>
      <c r="L167" s="2070"/>
      <c r="M167" s="2071"/>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44927</formula1>
      <formula2>45292</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0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tabSelected="1" topLeftCell="A10" zoomScaleNormal="100" zoomScaleSheetLayoutView="80" workbookViewId="0">
      <selection activeCell="I24" sqref="I24"/>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12" t="s">
        <v>791</v>
      </c>
      <c r="B1" s="2113"/>
      <c r="C1" s="2113"/>
      <c r="D1" s="2113"/>
      <c r="E1" s="2113"/>
      <c r="F1" s="2113"/>
      <c r="G1" s="2113"/>
      <c r="H1" s="2113"/>
      <c r="I1" s="2113"/>
      <c r="J1" s="2113"/>
      <c r="K1" s="2113"/>
      <c r="L1" s="1643"/>
      <c r="M1" s="1325"/>
      <c r="N1" s="1325"/>
    </row>
    <row r="2" spans="1:14" x14ac:dyDescent="0.25">
      <c r="A2" s="2114" t="s">
        <v>420</v>
      </c>
      <c r="B2" s="2115"/>
      <c r="C2" s="2115"/>
      <c r="D2" s="2115"/>
      <c r="E2" s="2115"/>
      <c r="F2" s="2115"/>
      <c r="G2" s="2115"/>
      <c r="H2" s="2115"/>
      <c r="I2" s="2115"/>
      <c r="J2" s="2115"/>
      <c r="K2" s="2115"/>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33" t="str">
        <f>"The worksheet is intended for use during the budgeting process to estimate the district's percent increase of FY"&amp;'B24'!L2</f>
        <v>The worksheet is intended for use during the budgeting process to estimate the district's percent increase of FY2024</v>
      </c>
      <c r="B5" s="2134"/>
      <c r="C5" s="2134"/>
      <c r="D5" s="2134"/>
      <c r="E5" s="2134"/>
      <c r="F5" s="2134"/>
      <c r="G5" s="2134"/>
      <c r="H5" s="2134" t="str">
        <f>"budgeted expenditures over actual FY"&amp;'B24'!L2-1</f>
        <v>budgeted expenditures over actual FY2023</v>
      </c>
      <c r="I5" s="2134"/>
      <c r="J5" s="2134"/>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17" t="str">
        <f>Cover!H13</f>
        <v>Gavin SD 37</v>
      </c>
      <c r="K11" s="2117"/>
      <c r="L11" s="2118"/>
      <c r="M11" s="1325"/>
      <c r="N11" s="1325"/>
    </row>
    <row r="12" spans="1:14" x14ac:dyDescent="0.25">
      <c r="A12" s="2119" t="s">
        <v>231</v>
      </c>
      <c r="B12" s="2120"/>
      <c r="C12" s="2120"/>
      <c r="D12" s="2120"/>
      <c r="E12" s="2120"/>
      <c r="F12" s="1325"/>
      <c r="G12" s="1325"/>
      <c r="H12" s="1325"/>
      <c r="I12" s="1350" t="s">
        <v>305</v>
      </c>
      <c r="J12" s="2121" t="str">
        <f>Cover!H14</f>
        <v>34049037002</v>
      </c>
      <c r="K12" s="2121"/>
      <c r="L12" s="2122"/>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23" t="s">
        <v>134</v>
      </c>
      <c r="B16" s="2124"/>
      <c r="C16" s="2124"/>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c r="F17" s="1656"/>
      <c r="G17" s="1655"/>
      <c r="H17" s="1657">
        <f t="shared" ref="H17:H23" si="0">SUM(E17:G17)</f>
        <v>0</v>
      </c>
      <c r="I17" s="1657">
        <f>'EstExp 12-20'!K52</f>
        <v>408151</v>
      </c>
      <c r="J17" s="1656"/>
      <c r="K17" s="1657">
        <f>'EstExp 12-20'!K361</f>
        <v>0</v>
      </c>
      <c r="L17" s="1670">
        <f t="shared" ref="L17:L23" si="1">SUM(I17:K17)</f>
        <v>408151</v>
      </c>
      <c r="M17" s="1325"/>
      <c r="N17" s="1325"/>
    </row>
    <row r="18" spans="1:14" x14ac:dyDescent="0.25">
      <c r="A18" s="1669">
        <v>2</v>
      </c>
      <c r="B18" s="1653" t="s">
        <v>507</v>
      </c>
      <c r="C18" s="1653"/>
      <c r="D18" s="1654">
        <v>2330</v>
      </c>
      <c r="E18" s="1655"/>
      <c r="F18" s="1656"/>
      <c r="G18" s="1655"/>
      <c r="H18" s="1657">
        <f t="shared" si="0"/>
        <v>0</v>
      </c>
      <c r="I18" s="1657">
        <f>'EstExp 12-20'!K53</f>
        <v>123488</v>
      </c>
      <c r="J18" s="1656"/>
      <c r="K18" s="1657">
        <f>'EstExp 12-20'!K362</f>
        <v>0</v>
      </c>
      <c r="L18" s="1670">
        <f t="shared" si="1"/>
        <v>123488</v>
      </c>
      <c r="M18" s="1325"/>
      <c r="N18" s="1325"/>
    </row>
    <row r="19" spans="1:14" x14ac:dyDescent="0.2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25">
      <c r="A20" s="1669">
        <v>4</v>
      </c>
      <c r="B20" s="1653" t="s">
        <v>361</v>
      </c>
      <c r="C20" s="1653"/>
      <c r="D20" s="1654">
        <v>2510</v>
      </c>
      <c r="E20" s="1655"/>
      <c r="F20" s="1655"/>
      <c r="G20" s="1655"/>
      <c r="H20" s="1657">
        <f t="shared" si="0"/>
        <v>0</v>
      </c>
      <c r="I20" s="1657">
        <f>'EstExp 12-20'!K61</f>
        <v>181680</v>
      </c>
      <c r="J20" s="1657">
        <f>'EstExp 12-20'!K126</f>
        <v>0</v>
      </c>
      <c r="K20" s="1657">
        <f>'EstExp 12-20'!K371</f>
        <v>0</v>
      </c>
      <c r="L20" s="1670">
        <f t="shared" si="1"/>
        <v>181680</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25" t="s">
        <v>801</v>
      </c>
      <c r="C23" s="2125"/>
      <c r="D23" s="2125"/>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0</v>
      </c>
      <c r="F24" s="1665">
        <f t="shared" si="2"/>
        <v>0</v>
      </c>
      <c r="G24" s="1665">
        <f t="shared" ref="G24" si="3">SUM(G17:G22)-G23</f>
        <v>0</v>
      </c>
      <c r="H24" s="1665">
        <f t="shared" si="2"/>
        <v>0</v>
      </c>
      <c r="I24" s="1665">
        <f t="shared" si="2"/>
        <v>713319</v>
      </c>
      <c r="J24" s="1665">
        <f t="shared" si="2"/>
        <v>0</v>
      </c>
      <c r="K24" s="1665">
        <f t="shared" si="2"/>
        <v>0</v>
      </c>
      <c r="L24" s="1672">
        <f t="shared" si="2"/>
        <v>713319</v>
      </c>
      <c r="M24" s="1325"/>
      <c r="N24" s="1325"/>
    </row>
    <row r="25" spans="1:14" ht="13.5" customHeight="1" x14ac:dyDescent="0.25">
      <c r="A25" s="1673">
        <v>9</v>
      </c>
      <c r="B25" s="2132" t="str">
        <f>"Estimated Percent Increase (Decrease) for FY"&amp;'B24'!L2</f>
        <v>Estimated Percent Increase (Decrease) for FY2024</v>
      </c>
      <c r="C25" s="2132"/>
      <c r="D25" s="1639"/>
      <c r="E25" s="1666"/>
      <c r="F25" s="1666"/>
      <c r="G25" s="1666"/>
      <c r="H25" s="1666"/>
      <c r="I25" s="1666"/>
      <c r="J25" s="1666"/>
      <c r="K25" s="1666"/>
      <c r="L25" s="2130" t="str">
        <f>IF(AND(H24&gt;0,L24&gt;0),(((L24-H24)/H24)),"Enter Actual Data")</f>
        <v>Enter Actual Data</v>
      </c>
      <c r="M25" s="1325"/>
      <c r="N25" s="1325"/>
    </row>
    <row r="26" spans="1:14" ht="15.75" thickBot="1" x14ac:dyDescent="0.3">
      <c r="A26" s="1648"/>
      <c r="B26" s="2135" t="str">
        <f>"(Budgeted) over (Actual) FY "&amp;'B24'!L2-"1"</f>
        <v>(Budgeted) over (Actual) FY 2023</v>
      </c>
      <c r="C26" s="2135"/>
      <c r="D26" s="1649"/>
      <c r="E26" s="1650"/>
      <c r="F26" s="1650"/>
      <c r="G26" s="1650"/>
      <c r="H26" s="1650"/>
      <c r="I26" s="1650"/>
      <c r="J26" s="1650"/>
      <c r="K26" s="1650"/>
      <c r="L26" s="2131"/>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26"/>
      <c r="D32" s="2126"/>
      <c r="E32" s="1633"/>
      <c r="F32" s="2127"/>
      <c r="G32" s="2127"/>
      <c r="H32" s="2127"/>
      <c r="I32" s="1325"/>
      <c r="J32" s="1325"/>
      <c r="K32" s="1325"/>
      <c r="L32" s="1325"/>
      <c r="M32" s="1325"/>
      <c r="N32" s="1325"/>
    </row>
    <row r="33" spans="1:14" x14ac:dyDescent="0.25">
      <c r="A33" s="1325"/>
      <c r="B33" s="1328"/>
      <c r="C33" s="1330"/>
      <c r="D33" s="1325"/>
      <c r="E33" s="1331"/>
      <c r="F33" s="2128"/>
      <c r="G33" s="2128"/>
      <c r="H33" s="2128"/>
      <c r="I33" s="1325"/>
      <c r="J33" s="1325"/>
      <c r="K33" s="1325"/>
      <c r="L33" s="1325"/>
      <c r="M33" s="1325"/>
      <c r="N33" s="1325"/>
    </row>
    <row r="34" spans="1:14" x14ac:dyDescent="0.25">
      <c r="A34" s="1325"/>
      <c r="B34" s="1328"/>
      <c r="C34" s="2129"/>
      <c r="D34" s="2129"/>
      <c r="E34" s="1332"/>
      <c r="F34" s="2129"/>
      <c r="G34" s="2129"/>
      <c r="H34" s="2129"/>
      <c r="I34" s="1325"/>
      <c r="J34" s="1325"/>
      <c r="K34" s="1325"/>
      <c r="L34" s="1325"/>
      <c r="M34" s="1325"/>
      <c r="N34" s="1325"/>
    </row>
    <row r="35" spans="1:14" x14ac:dyDescent="0.25">
      <c r="A35" s="1325"/>
      <c r="B35" s="1328"/>
      <c r="C35" s="1632"/>
      <c r="D35" s="1325"/>
      <c r="E35" s="1333"/>
      <c r="F35" s="2116"/>
      <c r="G35" s="2116"/>
      <c r="H35" s="2116"/>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1"/>
      <c r="D39" s="2111"/>
      <c r="E39" s="2111"/>
      <c r="F39" s="2111"/>
      <c r="G39" s="2111"/>
      <c r="H39" s="2111"/>
      <c r="I39" s="2111"/>
      <c r="J39" s="2111"/>
      <c r="K39" s="1631"/>
      <c r="L39" s="1325"/>
      <c r="M39" s="1325"/>
      <c r="N39" s="1325"/>
    </row>
    <row r="40" spans="1:14" x14ac:dyDescent="0.25">
      <c r="A40" s="1325"/>
      <c r="B40" s="1325"/>
      <c r="C40" s="2111"/>
      <c r="D40" s="2111"/>
      <c r="E40" s="2111"/>
      <c r="F40" s="2111"/>
      <c r="G40" s="2111"/>
      <c r="H40" s="2111"/>
      <c r="I40" s="2111"/>
      <c r="J40" s="2111"/>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39" t="s">
        <v>792</v>
      </c>
      <c r="B1" s="2140"/>
      <c r="C1" s="2140"/>
      <c r="D1" s="2140"/>
      <c r="E1" s="2140"/>
      <c r="F1" s="2141"/>
    </row>
    <row r="2" spans="1:7" ht="51" customHeight="1" x14ac:dyDescent="0.2">
      <c r="A2" s="2136" t="s">
        <v>701</v>
      </c>
      <c r="B2" s="2137"/>
      <c r="C2" s="2137"/>
      <c r="D2" s="2137"/>
      <c r="E2" s="2137"/>
      <c r="F2" s="2138"/>
    </row>
    <row r="3" spans="1:7" x14ac:dyDescent="0.2">
      <c r="A3" s="1356" t="s">
        <v>45</v>
      </c>
      <c r="B3" s="1291"/>
      <c r="C3" s="1291"/>
      <c r="D3" s="1291"/>
      <c r="E3" s="1291"/>
      <c r="F3" s="763"/>
    </row>
    <row r="4" spans="1:7" ht="27.75" customHeight="1" x14ac:dyDescent="0.2">
      <c r="A4" s="2142"/>
      <c r="B4" s="2142"/>
      <c r="C4" s="2142"/>
      <c r="D4" s="2142"/>
      <c r="E4" s="2142"/>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topLeftCell="A18" zoomScale="110" zoomScaleNormal="110" workbookViewId="0">
      <selection activeCell="B33" sqref="B33"/>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8" t="s">
        <v>422</v>
      </c>
      <c r="B1" s="2149"/>
      <c r="C1" s="2150"/>
    </row>
    <row r="2" spans="1:11" x14ac:dyDescent="0.2">
      <c r="A2" s="2151" t="s">
        <v>421</v>
      </c>
      <c r="B2" s="2152"/>
      <c r="C2" s="2153"/>
    </row>
    <row r="3" spans="1:11" ht="25.5" customHeight="1" thickBot="1" x14ac:dyDescent="0.25">
      <c r="A3" s="2151" t="s">
        <v>2138</v>
      </c>
      <c r="B3" s="2152"/>
      <c r="C3" s="2153"/>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7235</v>
      </c>
      <c r="J7" s="2144"/>
      <c r="K7" s="2145"/>
    </row>
    <row r="8" spans="1:11" x14ac:dyDescent="0.2">
      <c r="A8" s="523">
        <v>2</v>
      </c>
      <c r="B8" s="524" t="s">
        <v>816</v>
      </c>
      <c r="C8" s="525"/>
      <c r="F8" s="613"/>
      <c r="G8" s="613"/>
      <c r="I8" s="1681" t="s">
        <v>1624</v>
      </c>
      <c r="J8" s="1682" t="str">
        <f>IF(ChosenDistrict="","",Cover!H14)</f>
        <v>34049037002</v>
      </c>
      <c r="K8" s="1683" t="s">
        <v>7234</v>
      </c>
    </row>
    <row r="9" spans="1:11" ht="14.25" customHeight="1" x14ac:dyDescent="0.2">
      <c r="A9" s="526"/>
      <c r="B9" s="1467" t="s">
        <v>3251</v>
      </c>
      <c r="C9" s="530" t="str">
        <f>IF(ChosenDistrict="","ERROR -Choose district from drop-down list.","OK")</f>
        <v>OK</v>
      </c>
      <c r="F9" s="613" t="str">
        <f>C9</f>
        <v>OK</v>
      </c>
      <c r="G9" s="613"/>
      <c r="I9" s="1681" t="s">
        <v>7231</v>
      </c>
      <c r="J9" s="1682">
        <f>IF('EBF Spending Plan 30-34'!G31="[Enter $]","",'EBF Spending Plan 30-34'!G31)</f>
        <v>495105</v>
      </c>
      <c r="K9" s="1683"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1" t="s">
        <v>7232</v>
      </c>
      <c r="J10" s="1682">
        <f>IF('EBF Spending Plan 30-34'!G100="[Enter $]","",'EBF Spending Plan 30-34'!G100)</f>
        <v>795731.6</v>
      </c>
      <c r="K10" s="1683"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67288.63</v>
      </c>
      <c r="K11" s="1683" t="str">
        <f>IF('EBF Spending Plan 30-34'!H101="","",'EBF Spending Plan 30-34'!H101)</f>
        <v>Actual</v>
      </c>
    </row>
    <row r="12" spans="1:11" ht="13.5" thickBot="1" x14ac:dyDescent="0.25">
      <c r="A12" s="531"/>
      <c r="B12" s="527" t="s">
        <v>1948</v>
      </c>
      <c r="C12" s="530" t="str" cm="1">
        <f t="array" ref="C12">IF(AND(Cover!E49:J58="",Cover!K49:Q58=""),"ERROR - TYPE BOARD NAMES","OK")</f>
        <v>OK</v>
      </c>
      <c r="F12" s="613" t="str">
        <f t="shared" si="0"/>
        <v>OK</v>
      </c>
      <c r="G12" s="613"/>
      <c r="I12" s="1684" t="s">
        <v>7233</v>
      </c>
      <c r="J12" s="1685">
        <f>IF('EBF Spending Plan 30-34'!G102="[Enter $]","",'EBF Spending Plan 30-34'!G102)</f>
        <v>413460.61</v>
      </c>
      <c r="K12" s="1686" t="str">
        <f>IF('EBF Spending Plan 30-34'!H102="","",'EBF Spending Plan 30-34'!H102)</f>
        <v>Actual</v>
      </c>
    </row>
    <row r="13" spans="1:11" x14ac:dyDescent="0.2">
      <c r="A13" s="533">
        <v>3</v>
      </c>
      <c r="B13" s="2156" t="s">
        <v>811</v>
      </c>
      <c r="C13" s="2157"/>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4" t="s">
        <v>3254</v>
      </c>
      <c r="C23" s="2155"/>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0" t="s">
        <v>3255</v>
      </c>
      <c r="C34" s="2161"/>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8" t="s">
        <v>808</v>
      </c>
      <c r="C44" s="2159"/>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8" t="s">
        <v>809</v>
      </c>
      <c r="C47" s="2159"/>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8" t="s">
        <v>810</v>
      </c>
      <c r="C49" s="2159"/>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8" t="s">
        <v>1661</v>
      </c>
      <c r="C51" s="2159"/>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7">
        <v>10</v>
      </c>
      <c r="B54" s="2146" t="s">
        <v>7222</v>
      </c>
      <c r="C54" s="2147"/>
      <c r="F54" s="613"/>
    </row>
    <row r="55" spans="1:6" x14ac:dyDescent="0.2">
      <c r="A55" s="1628"/>
      <c r="B55" s="1630" t="s">
        <v>7223</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2" t="s">
        <v>3274</v>
      </c>
      <c r="BB931" s="2162"/>
      <c r="BC931" s="2162"/>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3" t="s">
        <v>4393</v>
      </c>
      <c r="B1" s="2163"/>
    </row>
    <row r="3" spans="1:3" x14ac:dyDescent="0.25">
      <c r="A3" s="1539" t="s">
        <v>4392</v>
      </c>
      <c r="B3" s="1539" t="s">
        <v>4391</v>
      </c>
      <c r="C3" s="1539" t="s">
        <v>4390</v>
      </c>
    </row>
    <row r="4" spans="1:3" x14ac:dyDescent="0.25">
      <c r="A4" s="1575" t="s">
        <v>4395</v>
      </c>
      <c r="B4" s="1468" t="str">
        <f>'EBF Spending Plan 30-34'!A2</f>
        <v>GAVIN SCHOOL DIST 37</v>
      </c>
      <c r="C4" s="1575" t="s">
        <v>4397</v>
      </c>
    </row>
    <row r="5" spans="1:3" x14ac:dyDescent="0.25">
      <c r="A5" s="1575" t="s">
        <v>4396</v>
      </c>
      <c r="B5" s="1468" t="str">
        <f>IF('EBF Spending Plan 30-34'!O1="","",'EBF Spending Plan 30-34'!O1&amp;"00")</f>
        <v>3404903700200</v>
      </c>
      <c r="C5" s="1575" t="s">
        <v>4397</v>
      </c>
    </row>
    <row r="6" spans="1:3" x14ac:dyDescent="0.25">
      <c r="A6" s="1626" t="s">
        <v>7023</v>
      </c>
      <c r="B6" s="1468" t="str">
        <f>'EBF Spending Plan 30-34'!B7</f>
        <v>Strategic Goals for Gavin School District #37
Curriculum, Instruction, and Assessment
Ensure maximum development, growth, and achievement for every learner
Support the capacity to meet the developmental needs of our learners through high quality professional development          
Finance and Facilities           
Maximize funding to support district initiatives</v>
      </c>
      <c r="C6" s="1575" t="s">
        <v>4397</v>
      </c>
    </row>
    <row r="7" spans="1:3" x14ac:dyDescent="0.25">
      <c r="A7" s="1468" t="s">
        <v>7027</v>
      </c>
      <c r="B7" s="1468" t="str">
        <f>'EBF Spending Plan 30-34'!G11</f>
        <v>Increase the number of high-quality educators dedicated to special student groups</v>
      </c>
      <c r="C7" s="1575" t="s">
        <v>4397</v>
      </c>
    </row>
    <row r="8" spans="1:3" x14ac:dyDescent="0.25">
      <c r="A8" s="1468" t="s">
        <v>7024</v>
      </c>
      <c r="B8" s="1468" t="str">
        <f>'EBF Spending Plan 30-34'!I11</f>
        <v>Increase number and/or quality of professional development opportunities</v>
      </c>
      <c r="C8" s="1575" t="s">
        <v>4397</v>
      </c>
    </row>
    <row r="9" spans="1:3" x14ac:dyDescent="0.25">
      <c r="A9" s="1468" t="s">
        <v>7025</v>
      </c>
      <c r="B9" s="1468" t="str">
        <f>'EBF Spending Plan 30-34'!L11</f>
        <v>Improve programs, curriculum, and/or learning tools</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750.55</v>
      </c>
      <c r="C11" s="1575" t="s">
        <v>4398</v>
      </c>
    </row>
    <row r="12" spans="1:3" x14ac:dyDescent="0.25">
      <c r="A12" s="1575" t="s">
        <v>7028</v>
      </c>
      <c r="B12" s="1468">
        <f>'EBF Spending Plan 30-34'!J18</f>
        <v>11470833.48</v>
      </c>
      <c r="C12" s="1575" t="s">
        <v>4398</v>
      </c>
    </row>
    <row r="13" spans="1:3" x14ac:dyDescent="0.25">
      <c r="A13" s="1575" t="s">
        <v>7029</v>
      </c>
      <c r="B13" s="1468">
        <f>'EBF Spending Plan 30-34'!G20</f>
        <v>7452542.75</v>
      </c>
      <c r="C13" s="1575" t="s">
        <v>4398</v>
      </c>
    </row>
    <row r="14" spans="1:3" x14ac:dyDescent="0.25">
      <c r="A14" s="1575" t="s">
        <v>7030</v>
      </c>
      <c r="B14" s="1538">
        <f>'EBF Spending Plan 30-34'!J20</f>
        <v>0.649694964449959</v>
      </c>
      <c r="C14" s="1575" t="s">
        <v>4398</v>
      </c>
    </row>
    <row r="15" spans="1:3" x14ac:dyDescent="0.25">
      <c r="A15" s="1575" t="s">
        <v>7031</v>
      </c>
      <c r="B15" s="1468">
        <f>'EBF Spending Plan 30-34'!G22</f>
        <v>1</v>
      </c>
      <c r="C15" s="1575" t="s">
        <v>4398</v>
      </c>
    </row>
    <row r="16" spans="1:3" x14ac:dyDescent="0.25">
      <c r="A16" s="1575" t="s">
        <v>7032</v>
      </c>
      <c r="B16" s="1468">
        <f>'EBF Spending Plan 30-34'!G24</f>
        <v>2725835.0199999996</v>
      </c>
      <c r="C16" s="1575" t="s">
        <v>4398</v>
      </c>
    </row>
    <row r="17" spans="1:3" x14ac:dyDescent="0.25">
      <c r="A17" s="1575" t="s">
        <v>7033</v>
      </c>
      <c r="B17" s="1468">
        <f>'EBF Spending Plan 30-34'!J22</f>
        <v>3107519.4799999995</v>
      </c>
      <c r="C17" s="1575" t="s">
        <v>4398</v>
      </c>
    </row>
    <row r="18" spans="1:3" x14ac:dyDescent="0.25">
      <c r="A18" s="1575" t="s">
        <v>7034</v>
      </c>
      <c r="B18" s="1468">
        <f>'EBF Spending Plan 30-34'!J24</f>
        <v>381684.46</v>
      </c>
      <c r="C18" s="1575" t="s">
        <v>4398</v>
      </c>
    </row>
    <row r="19" spans="1:3" x14ac:dyDescent="0.25">
      <c r="A19" s="1575" t="s">
        <v>7035</v>
      </c>
      <c r="B19" s="1468">
        <f>'EBF Spending Plan 30-34'!G26</f>
        <v>721960.94</v>
      </c>
      <c r="C19" s="1575" t="s">
        <v>4398</v>
      </c>
    </row>
    <row r="20" spans="1:3" x14ac:dyDescent="0.25">
      <c r="A20" s="1575" t="s">
        <v>7036</v>
      </c>
      <c r="B20" s="1468">
        <f>'EBF Spending Plan 30-34'!G27</f>
        <v>35651.42</v>
      </c>
      <c r="C20" s="1575" t="s">
        <v>4398</v>
      </c>
    </row>
    <row r="21" spans="1:3" x14ac:dyDescent="0.25">
      <c r="A21" s="1575" t="s">
        <v>7037</v>
      </c>
      <c r="B21" s="1468">
        <f>'EBF Spending Plan 30-34'!G28</f>
        <v>379298.36</v>
      </c>
      <c r="C21" s="1575" t="s">
        <v>4398</v>
      </c>
    </row>
    <row r="22" spans="1:3" x14ac:dyDescent="0.25">
      <c r="A22" s="1624" t="s">
        <v>7038</v>
      </c>
      <c r="B22" s="1468">
        <f>'EBF Spending Plan 30-34'!G31</f>
        <v>495105</v>
      </c>
      <c r="C22" s="1576" t="s">
        <v>4399</v>
      </c>
    </row>
    <row r="23" spans="1:3" x14ac:dyDescent="0.25">
      <c r="A23" s="1624" t="s">
        <v>7039</v>
      </c>
      <c r="B23" s="1468" t="str">
        <f>'EBF Spending Plan 30-34'!H31</f>
        <v>Actual</v>
      </c>
      <c r="C23" s="1624" t="s">
        <v>4399</v>
      </c>
    </row>
    <row r="24" spans="1:3" x14ac:dyDescent="0.25">
      <c r="A24" s="1468" t="s">
        <v>7040</v>
      </c>
      <c r="B24" s="1468" t="str">
        <f>'EBF Spending Plan 30-34'!G35</f>
        <v>Attendance data (e.g., chronic absenteeism, graduation or dropout rates)</v>
      </c>
      <c r="C24" s="1576" t="s">
        <v>4399</v>
      </c>
    </row>
    <row r="25" spans="1:3" x14ac:dyDescent="0.25">
      <c r="A25" s="1468" t="s">
        <v>7041</v>
      </c>
      <c r="B25" s="1468" t="str">
        <f>'EBF Spending Plan 30-34'!I35</f>
        <v>Student growth and achievement data, disaggregated by student groups</v>
      </c>
      <c r="C25" s="1576" t="s">
        <v>4399</v>
      </c>
    </row>
    <row r="26" spans="1:3" x14ac:dyDescent="0.25">
      <c r="A26" s="1468" t="s">
        <v>7042</v>
      </c>
      <c r="B26" s="1468" t="str">
        <f>'EBF Spending Plan 30-34'!L35</f>
        <v>Student discipline and behavior data</v>
      </c>
      <c r="C26" s="1576" t="s">
        <v>4399</v>
      </c>
    </row>
    <row r="27" spans="1:3" x14ac:dyDescent="0.25">
      <c r="A27" s="1468" t="s">
        <v>7043</v>
      </c>
      <c r="B27" s="1468" t="str">
        <f>IF('EBF Spending Plan 30-34'!H37="","",'EBF Spending Plan 30-34'!H37)</f>
        <v>Yes</v>
      </c>
      <c r="C27" s="1576" t="s">
        <v>4399</v>
      </c>
    </row>
    <row r="28" spans="1:3" x14ac:dyDescent="0.25">
      <c r="A28" s="1468" t="s">
        <v>7044</v>
      </c>
      <c r="B28" s="1468" t="str">
        <f>IF('EBF Spending Plan 30-34'!H38="","",'EBF Spending Plan 30-34'!H38)</f>
        <v>Yes</v>
      </c>
      <c r="C28" s="1576" t="s">
        <v>4399</v>
      </c>
    </row>
    <row r="29" spans="1:3" x14ac:dyDescent="0.25">
      <c r="A29" s="1468" t="s">
        <v>7045</v>
      </c>
      <c r="B29" s="1468" t="str">
        <f>IF('EBF Spending Plan 30-34'!H39="","",'EBF Spending Plan 30-34'!H39)</f>
        <v/>
      </c>
      <c r="C29" s="1576" t="s">
        <v>4399</v>
      </c>
    </row>
    <row r="30" spans="1:3" x14ac:dyDescent="0.25">
      <c r="A30" s="1468" t="s">
        <v>7046</v>
      </c>
      <c r="B30" s="1468" t="str">
        <f>IF('EBF Spending Plan 30-34'!H40="","",'EBF Spending Plan 30-34'!H40)</f>
        <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Yes</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
      </c>
      <c r="C34" s="1576" t="s">
        <v>4399</v>
      </c>
    </row>
    <row r="35" spans="1:3" x14ac:dyDescent="0.25">
      <c r="A35" s="1468" t="s">
        <v>7052</v>
      </c>
      <c r="B35" s="1468" t="str">
        <f>IF('EBF Spending Plan 30-34'!M37="","",'EBF Spending Plan 30-34'!M37)</f>
        <v>Yes</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Professional Development</v>
      </c>
      <c r="C40" s="1576" t="s">
        <v>4399</v>
      </c>
    </row>
    <row r="41" spans="1:3" x14ac:dyDescent="0.25">
      <c r="A41" s="1468" t="s">
        <v>7058</v>
      </c>
      <c r="B41" s="1468" t="str">
        <f>'EBF Spending Plan 30-34'!I43</f>
        <v>Instructional Materials</v>
      </c>
      <c r="C41" s="1576" t="s">
        <v>4399</v>
      </c>
    </row>
    <row r="42" spans="1:3" x14ac:dyDescent="0.25">
      <c r="A42" s="1468" t="s">
        <v>7059</v>
      </c>
      <c r="B42" s="1468" t="str">
        <f>'EBF Spending Plan 30-34'!L43</f>
        <v>Substitute Teacher</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2731819.53</v>
      </c>
      <c r="C44" s="1575" t="s">
        <v>4400</v>
      </c>
    </row>
    <row r="45" spans="1:3" x14ac:dyDescent="0.25">
      <c r="A45" s="1468" t="s">
        <v>7062</v>
      </c>
      <c r="B45" s="1468">
        <f>'EBF Spending Plan 30-34'!F53</f>
        <v>546363.9</v>
      </c>
      <c r="C45" s="1575" t="s">
        <v>4400</v>
      </c>
    </row>
    <row r="46" spans="1:3" x14ac:dyDescent="0.25">
      <c r="A46" s="1468" t="s">
        <v>7063</v>
      </c>
      <c r="B46" s="1468">
        <f>'EBF Spending Plan 30-34'!F54</f>
        <v>266275.86</v>
      </c>
      <c r="C46" s="1575" t="s">
        <v>4400</v>
      </c>
    </row>
    <row r="47" spans="1:3" x14ac:dyDescent="0.25">
      <c r="A47" s="1468" t="s">
        <v>7064</v>
      </c>
      <c r="B47" s="1468">
        <f>'EBF Spending Plan 30-34'!F55</f>
        <v>118186.61</v>
      </c>
      <c r="C47" s="1575" t="s">
        <v>4400</v>
      </c>
    </row>
    <row r="48" spans="1:3" x14ac:dyDescent="0.25">
      <c r="A48" s="1468" t="s">
        <v>7065</v>
      </c>
      <c r="B48" s="1468">
        <f>'EBF Spending Plan 30-34'!F56</f>
        <v>103014.97</v>
      </c>
      <c r="C48" s="1575" t="s">
        <v>4400</v>
      </c>
    </row>
    <row r="49" spans="1:3" x14ac:dyDescent="0.25">
      <c r="A49" s="1468" t="s">
        <v>7066</v>
      </c>
      <c r="B49" s="1468">
        <f>'EBF Spending Plan 30-34'!F57</f>
        <v>163389.84</v>
      </c>
      <c r="C49" s="1575" t="s">
        <v>4400</v>
      </c>
    </row>
    <row r="50" spans="1:3" x14ac:dyDescent="0.25">
      <c r="A50" s="1468" t="s">
        <v>7067</v>
      </c>
      <c r="B50" s="1468">
        <f>'EBF Spending Plan 30-34'!F58</f>
        <v>62866.74</v>
      </c>
      <c r="C50" s="1575" t="s">
        <v>4400</v>
      </c>
    </row>
    <row r="51" spans="1:3" x14ac:dyDescent="0.25">
      <c r="A51" s="1468" t="s">
        <v>7068</v>
      </c>
      <c r="B51" s="1468">
        <f>'EBF Spending Plan 30-34'!F59</f>
        <v>98728.36</v>
      </c>
      <c r="C51" s="1575" t="s">
        <v>4400</v>
      </c>
    </row>
    <row r="52" spans="1:3" x14ac:dyDescent="0.25">
      <c r="A52" s="1468" t="s">
        <v>7069</v>
      </c>
      <c r="B52" s="1468">
        <f>'EBF Spending Plan 30-34'!F60</f>
        <v>135536.84</v>
      </c>
      <c r="C52" s="1575" t="s">
        <v>4400</v>
      </c>
    </row>
    <row r="53" spans="1:3" x14ac:dyDescent="0.25">
      <c r="A53" s="1468" t="s">
        <v>7070</v>
      </c>
      <c r="B53" s="1468">
        <f>'EBF Spending Plan 30-34'!F61</f>
        <v>73823.91</v>
      </c>
      <c r="C53" s="1575" t="s">
        <v>4400</v>
      </c>
    </row>
    <row r="54" spans="1:3" x14ac:dyDescent="0.25">
      <c r="A54" s="1468" t="s">
        <v>7071</v>
      </c>
      <c r="B54" s="1468">
        <f>'EBF Spending Plan 30-34'!F62</f>
        <v>202396.2</v>
      </c>
      <c r="C54" s="1575" t="s">
        <v>4400</v>
      </c>
    </row>
    <row r="55" spans="1:3" x14ac:dyDescent="0.25">
      <c r="A55" s="1468" t="s">
        <v>7072</v>
      </c>
      <c r="B55" s="1468">
        <f>'EBF Spending Plan 30-34'!F63</f>
        <v>174567.48</v>
      </c>
      <c r="C55" s="1575" t="s">
        <v>4400</v>
      </c>
    </row>
    <row r="56" spans="1:3" x14ac:dyDescent="0.25">
      <c r="A56" s="1468" t="s">
        <v>7073</v>
      </c>
      <c r="B56" s="1468">
        <f>'EBF Spending Plan 30-34'!F64</f>
        <v>118467.77</v>
      </c>
      <c r="C56" s="1575" t="s">
        <v>4400</v>
      </c>
    </row>
    <row r="57" spans="1:3" x14ac:dyDescent="0.25">
      <c r="A57" s="1468" t="s">
        <v>7074</v>
      </c>
      <c r="B57" s="1468">
        <f>'EBF Spending Plan 30-34'!F65</f>
        <v>4795438.01</v>
      </c>
      <c r="C57" s="1575" t="s">
        <v>4400</v>
      </c>
    </row>
    <row r="58" spans="1:3" x14ac:dyDescent="0.25">
      <c r="A58" s="1468" t="s">
        <v>7075</v>
      </c>
      <c r="B58" s="1468">
        <f>'EBF Spending Plan 30-34'!F66</f>
        <v>66986.999999999985</v>
      </c>
      <c r="C58" s="1575" t="s">
        <v>4400</v>
      </c>
    </row>
    <row r="59" spans="1:3" x14ac:dyDescent="0.25">
      <c r="A59" s="1468" t="s">
        <v>7076</v>
      </c>
      <c r="B59" s="1468">
        <f>'EBF Spending Plan 30-34'!F67</f>
        <v>93818.749999999985</v>
      </c>
      <c r="C59" s="1575" t="s">
        <v>4400</v>
      </c>
    </row>
    <row r="60" spans="1:3" x14ac:dyDescent="0.25">
      <c r="A60" s="1468" t="s">
        <v>7077</v>
      </c>
      <c r="B60" s="1468">
        <f>'EBF Spending Plan 30-34'!F68</f>
        <v>201897.94999999995</v>
      </c>
      <c r="C60" s="1575" t="s">
        <v>4400</v>
      </c>
    </row>
    <row r="61" spans="1:3" x14ac:dyDescent="0.25">
      <c r="A61" s="1468" t="s">
        <v>7078</v>
      </c>
      <c r="B61" s="1468">
        <f>'EBF Spending Plan 30-34'!F69</f>
        <v>21765.949999999997</v>
      </c>
      <c r="C61" s="1575" t="s">
        <v>4400</v>
      </c>
    </row>
    <row r="62" spans="1:3" x14ac:dyDescent="0.25">
      <c r="A62" s="1468" t="s">
        <v>7079</v>
      </c>
      <c r="B62" s="1468">
        <f>'EBF Spending Plan 30-34'!F70</f>
        <v>428564.05000000005</v>
      </c>
      <c r="C62" s="1575" t="s">
        <v>4400</v>
      </c>
    </row>
    <row r="63" spans="1:3" x14ac:dyDescent="0.25">
      <c r="A63" s="1468" t="s">
        <v>7080</v>
      </c>
      <c r="B63" s="1468">
        <f>'EBF Spending Plan 30-34'!F71</f>
        <v>112448.56</v>
      </c>
      <c r="C63" s="1575" t="s">
        <v>4400</v>
      </c>
    </row>
    <row r="64" spans="1:3" x14ac:dyDescent="0.25">
      <c r="A64" s="1468" t="s">
        <v>7081</v>
      </c>
      <c r="B64" s="1468">
        <f>'EBF Spending Plan 30-34'!F72</f>
        <v>920924.84999999986</v>
      </c>
      <c r="C64" s="1575" t="s">
        <v>4400</v>
      </c>
    </row>
    <row r="65" spans="1:3" x14ac:dyDescent="0.25">
      <c r="A65" s="1468" t="s">
        <v>7082</v>
      </c>
      <c r="B65" s="1468">
        <f>'EBF Spending Plan 30-34'!F73</f>
        <v>662735.64999999991</v>
      </c>
      <c r="C65" s="1575" t="s">
        <v>4400</v>
      </c>
    </row>
    <row r="66" spans="1:3" x14ac:dyDescent="0.25">
      <c r="A66" s="1468" t="s">
        <v>7083</v>
      </c>
      <c r="B66" s="1468">
        <f>'EBF Spending Plan 30-34'!F74</f>
        <v>2127136.59705</v>
      </c>
      <c r="C66" s="1575" t="s">
        <v>4400</v>
      </c>
    </row>
    <row r="67" spans="1:3" x14ac:dyDescent="0.25">
      <c r="A67" s="1468" t="s">
        <v>7084</v>
      </c>
      <c r="B67" s="1468">
        <f>'EBF Spending Plan 30-34'!F75</f>
        <v>4666878.5470500011</v>
      </c>
      <c r="C67" s="1575" t="s">
        <v>4400</v>
      </c>
    </row>
    <row r="68" spans="1:3" x14ac:dyDescent="0.25">
      <c r="A68" s="1468" t="s">
        <v>7085</v>
      </c>
      <c r="B68" s="1468">
        <f>'EBF Spending Plan 30-34'!F76</f>
        <v>244326.76</v>
      </c>
      <c r="C68" s="1575" t="s">
        <v>4400</v>
      </c>
    </row>
    <row r="69" spans="1:3" x14ac:dyDescent="0.25">
      <c r="A69" s="1468" t="s">
        <v>7086</v>
      </c>
      <c r="B69" s="1468">
        <f>'EBF Spending Plan 30-34'!F77</f>
        <v>244326.76</v>
      </c>
      <c r="C69" s="1575" t="s">
        <v>4400</v>
      </c>
    </row>
    <row r="70" spans="1:3" x14ac:dyDescent="0.25">
      <c r="A70" s="1468" t="s">
        <v>7087</v>
      </c>
      <c r="B70" s="1468">
        <f>'EBF Spending Plan 30-34'!F78</f>
        <v>254040.05</v>
      </c>
      <c r="C70" s="1575" t="s">
        <v>4400</v>
      </c>
    </row>
    <row r="71" spans="1:3" x14ac:dyDescent="0.25">
      <c r="A71" s="1468" t="s">
        <v>7088</v>
      </c>
      <c r="B71" s="1468">
        <f>'EBF Spending Plan 30-34'!F79</f>
        <v>254040.05</v>
      </c>
      <c r="C71" s="1575" t="s">
        <v>4400</v>
      </c>
    </row>
    <row r="72" spans="1:3" x14ac:dyDescent="0.25">
      <c r="A72" s="1468" t="s">
        <v>7089</v>
      </c>
      <c r="B72" s="1468">
        <f>'EBF Spending Plan 30-34'!F80</f>
        <v>73970.48</v>
      </c>
      <c r="C72" s="1575" t="s">
        <v>4400</v>
      </c>
    </row>
    <row r="73" spans="1:3" x14ac:dyDescent="0.25">
      <c r="A73" s="1468" t="s">
        <v>7090</v>
      </c>
      <c r="B73" s="1468">
        <f>'EBF Spending Plan 30-34'!F81</f>
        <v>73970.48</v>
      </c>
      <c r="C73" s="1575" t="s">
        <v>4400</v>
      </c>
    </row>
    <row r="74" spans="1:3" x14ac:dyDescent="0.25">
      <c r="A74" s="1468" t="s">
        <v>7091</v>
      </c>
      <c r="B74" s="1468">
        <f>'EBF Spending Plan 30-34'!F82</f>
        <v>76959.19</v>
      </c>
      <c r="C74" s="1575" t="s">
        <v>4400</v>
      </c>
    </row>
    <row r="75" spans="1:3" x14ac:dyDescent="0.25">
      <c r="A75" s="1468" t="s">
        <v>7092</v>
      </c>
      <c r="B75" s="1468">
        <f>'EBF Spending Plan 30-34'!F83</f>
        <v>76959.19</v>
      </c>
      <c r="C75" s="1575" t="s">
        <v>4400</v>
      </c>
    </row>
    <row r="76" spans="1:3" x14ac:dyDescent="0.25">
      <c r="A76" s="1468" t="s">
        <v>7093</v>
      </c>
      <c r="B76" s="1468">
        <f>'EBF Spending Plan 30-34'!F84</f>
        <v>92649.9</v>
      </c>
      <c r="C76" s="1575" t="s">
        <v>4400</v>
      </c>
    </row>
    <row r="77" spans="1:3" x14ac:dyDescent="0.25">
      <c r="A77" s="1468" t="s">
        <v>7094</v>
      </c>
      <c r="B77" s="1468">
        <f>'EBF Spending Plan 30-34'!F85</f>
        <v>397497.97</v>
      </c>
      <c r="C77" s="1575" t="s">
        <v>4400</v>
      </c>
    </row>
    <row r="78" spans="1:3" x14ac:dyDescent="0.25">
      <c r="A78" s="1468" t="s">
        <v>7095</v>
      </c>
      <c r="B78" s="1468">
        <f>'EBF Spending Plan 30-34'!F86</f>
        <v>157728.20000000001</v>
      </c>
      <c r="C78" s="1575" t="s">
        <v>4400</v>
      </c>
    </row>
    <row r="79" spans="1:3" x14ac:dyDescent="0.25">
      <c r="A79" s="1468" t="s">
        <v>7096</v>
      </c>
      <c r="B79" s="1468">
        <f>'EBF Spending Plan 30-34'!F87</f>
        <v>62047.77</v>
      </c>
      <c r="C79" s="1575" t="s">
        <v>4400</v>
      </c>
    </row>
    <row r="80" spans="1:3" x14ac:dyDescent="0.25">
      <c r="A80" s="1468" t="s">
        <v>7097</v>
      </c>
      <c r="B80" s="1468">
        <f>'EBF Spending Plan 30-34'!F88</f>
        <v>2008516.7999999998</v>
      </c>
      <c r="C80" s="1575" t="s">
        <v>4400</v>
      </c>
    </row>
    <row r="81" spans="1:3" x14ac:dyDescent="0.25">
      <c r="A81" s="1468" t="s">
        <v>7098</v>
      </c>
      <c r="B81" s="1468">
        <f>'EBF Spending Plan 30-34'!F90</f>
        <v>11470833.48</v>
      </c>
      <c r="C81" s="1575" t="s">
        <v>4400</v>
      </c>
    </row>
    <row r="82" spans="1:3" x14ac:dyDescent="0.25">
      <c r="A82" s="1468" t="s">
        <v>7099</v>
      </c>
      <c r="B82" s="1468">
        <f>IF('EBF Spending Plan 30-34'!G52="","",'EBF Spending Plan 30-34'!G52)</f>
        <v>40981</v>
      </c>
      <c r="C82" s="1575" t="s">
        <v>4401</v>
      </c>
    </row>
    <row r="83" spans="1:3" x14ac:dyDescent="0.25">
      <c r="A83" s="1468" t="s">
        <v>7100</v>
      </c>
      <c r="B83" s="1468" t="str">
        <f>IF('EBF Spending Plan 30-34'!G53="","",'EBF Spending Plan 30-34'!G53)</f>
        <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f>IF('EBF Spending Plan 30-34'!G56="","",'EBF Spending Plan 30-34'!G56)</f>
        <v>133525</v>
      </c>
      <c r="C86" s="1575" t="s">
        <v>4401</v>
      </c>
    </row>
    <row r="87" spans="1:3" x14ac:dyDescent="0.25">
      <c r="A87" s="1468" t="s">
        <v>7104</v>
      </c>
      <c r="B87" s="1468" t="str">
        <f>IF('EBF Spending Plan 30-34'!G57="","",'EBF Spending Plan 30-34'!G57)</f>
        <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t="str">
        <f>IF('EBF Spending Plan 30-34'!G62="","",'EBF Spending Plan 30-34'!G62)</f>
        <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174506</v>
      </c>
      <c r="C95" s="1575" t="s">
        <v>4401</v>
      </c>
    </row>
    <row r="96" spans="1:3" x14ac:dyDescent="0.25">
      <c r="A96" s="1468" t="s">
        <v>7113</v>
      </c>
      <c r="B96" s="1468" t="str">
        <f>IF('EBF Spending Plan 30-34'!G66="","",'EBF Spending Plan 30-34'!G66)</f>
        <v/>
      </c>
      <c r="C96" s="1575" t="s">
        <v>4401</v>
      </c>
    </row>
    <row r="97" spans="1:3" x14ac:dyDescent="0.25">
      <c r="A97" s="1468" t="s">
        <v>7114</v>
      </c>
      <c r="B97" s="1468">
        <f>IF('EBF Spending Plan 30-34'!G67="","",'EBF Spending Plan 30-34'!G67)</f>
        <v>23854</v>
      </c>
      <c r="C97" s="1575" t="s">
        <v>4401</v>
      </c>
    </row>
    <row r="98" spans="1:3" x14ac:dyDescent="0.25">
      <c r="A98" s="1468" t="s">
        <v>7115</v>
      </c>
      <c r="B98" s="1468">
        <f>IF('EBF Spending Plan 30-34'!G68="","",'EBF Spending Plan 30-34'!G68)</f>
        <v>90798</v>
      </c>
      <c r="C98" s="1575" t="s">
        <v>4401</v>
      </c>
    </row>
    <row r="99" spans="1:3" x14ac:dyDescent="0.25">
      <c r="A99" s="1468" t="s">
        <v>7116</v>
      </c>
      <c r="B99" s="1468">
        <f>IF('EBF Spending Plan 30-34'!G69="","",'EBF Spending Plan 30-34'!G69)</f>
        <v>22630</v>
      </c>
      <c r="C99" s="1575" t="s">
        <v>4401</v>
      </c>
    </row>
    <row r="100" spans="1:3" x14ac:dyDescent="0.25">
      <c r="A100" s="1468" t="s">
        <v>7117</v>
      </c>
      <c r="B100" s="1468" t="str">
        <f>IF('EBF Spending Plan 30-34'!G70="","",'EBF Spending Plan 30-34'!G70)</f>
        <v/>
      </c>
      <c r="C100" s="1575" t="s">
        <v>4401</v>
      </c>
    </row>
    <row r="101" spans="1:3" x14ac:dyDescent="0.25">
      <c r="A101" s="1468" t="s">
        <v>7118</v>
      </c>
      <c r="B101" s="1468">
        <f>IF('EBF Spending Plan 30-34'!G71="","",'EBF Spending Plan 30-34'!G71)</f>
        <v>112000</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f>'EBF Spending Plan 30-34'!G75</f>
        <v>249282</v>
      </c>
      <c r="C105" s="1575" t="s">
        <v>4401</v>
      </c>
    </row>
    <row r="106" spans="1:3" x14ac:dyDescent="0.25">
      <c r="A106" s="1468" t="s">
        <v>7123</v>
      </c>
      <c r="B106" s="1468" t="str">
        <f>IF('EBF Spending Plan 30-34'!G76="","",'EBF Spending Plan 30-34'!G76)</f>
        <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f>IF('EBF Spending Plan 30-34'!G81="","",'EBF Spending Plan 30-34'!G81)</f>
        <v>15000</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f>IF('EBF Spending Plan 30-34'!G84="","",'EBF Spending Plan 30-34'!G84)</f>
        <v>56317</v>
      </c>
      <c r="C114" s="1575" t="s">
        <v>4401</v>
      </c>
    </row>
    <row r="115" spans="1:3" x14ac:dyDescent="0.25">
      <c r="A115" s="1468" t="s">
        <v>7132</v>
      </c>
      <c r="B115" s="1468" t="str">
        <f>IF('EBF Spending Plan 30-34'!G85="","",'EBF Spending Plan 30-34'!G85)</f>
        <v/>
      </c>
      <c r="C115" s="1575" t="s">
        <v>4401</v>
      </c>
    </row>
    <row r="116" spans="1:3" x14ac:dyDescent="0.25">
      <c r="A116" s="1468" t="s">
        <v>7133</v>
      </c>
      <c r="B116" s="1468" t="str">
        <f>IF('EBF Spending Plan 30-34'!G86="","",'EBF Spending Plan 30-34'!G86)</f>
        <v/>
      </c>
      <c r="C116" s="1575" t="s">
        <v>4401</v>
      </c>
    </row>
    <row r="117" spans="1:3" x14ac:dyDescent="0.25">
      <c r="A117" s="1468" t="s">
        <v>7134</v>
      </c>
      <c r="B117" s="1468" t="str">
        <f>IF('EBF Spending Plan 30-34'!G87="","",'EBF Spending Plan 30-34'!G87)</f>
        <v/>
      </c>
      <c r="C117" s="1575" t="s">
        <v>4401</v>
      </c>
    </row>
    <row r="118" spans="1:3" x14ac:dyDescent="0.25">
      <c r="A118" s="1468" t="s">
        <v>7135</v>
      </c>
      <c r="B118" s="1468">
        <f>'EBF Spending Plan 30-34'!G88</f>
        <v>71317</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495105</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795731.6</v>
      </c>
      <c r="C161" s="1575" t="s">
        <v>4403</v>
      </c>
    </row>
    <row r="162" spans="1:3" x14ac:dyDescent="0.25">
      <c r="A162" s="1625" t="s">
        <v>7179</v>
      </c>
      <c r="B162" s="1468" t="str">
        <f>'EBF Spending Plan 30-34'!H100</f>
        <v>Actual</v>
      </c>
      <c r="C162" s="1575"/>
    </row>
    <row r="163" spans="1:3" x14ac:dyDescent="0.25">
      <c r="A163" s="1625" t="s">
        <v>7180</v>
      </c>
      <c r="B163" s="1468">
        <f>'EBF Spending Plan 30-34'!G101</f>
        <v>67288.63</v>
      </c>
      <c r="C163" s="1575" t="s">
        <v>4403</v>
      </c>
    </row>
    <row r="164" spans="1:3" x14ac:dyDescent="0.25">
      <c r="A164" s="1625" t="s">
        <v>7181</v>
      </c>
      <c r="B164" s="1468" t="str">
        <f>'EBF Spending Plan 30-34'!H101</f>
        <v>Actual</v>
      </c>
      <c r="C164" s="1575"/>
    </row>
    <row r="165" spans="1:3" x14ac:dyDescent="0.25">
      <c r="A165" s="1625" t="s">
        <v>7182</v>
      </c>
      <c r="B165" s="1468">
        <f>'EBF Spending Plan 30-34'!G102</f>
        <v>413460.61</v>
      </c>
      <c r="C165" s="1575" t="s">
        <v>4403</v>
      </c>
    </row>
    <row r="166" spans="1:3" x14ac:dyDescent="0.25">
      <c r="A166" s="1625" t="s">
        <v>7183</v>
      </c>
      <c r="B166" s="1468" t="str">
        <f>'EBF Spending Plan 30-34'!H102</f>
        <v>Actual</v>
      </c>
      <c r="C166" s="1575"/>
    </row>
    <row r="167" spans="1:3" x14ac:dyDescent="0.25">
      <c r="A167" s="1468" t="s">
        <v>7184</v>
      </c>
      <c r="B167" s="1468" t="str">
        <f>IF('EBF Spending Plan 30-34'!H104="","",'EBF Spending Plan 30-34'!H104)</f>
        <v>Yes</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Yes</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Yes</v>
      </c>
      <c r="C200" s="1575" t="s">
        <v>4386</v>
      </c>
    </row>
    <row r="201" spans="1:3" x14ac:dyDescent="0.25">
      <c r="A201" s="1468" t="s">
        <v>7218</v>
      </c>
      <c r="B201" s="1468" t="str">
        <f>IF('EBF Spending Plan 30-34'!E133="","",'EBF Spending Plan 30-34'!E133)</f>
        <v>Yes</v>
      </c>
      <c r="C201" s="1575" t="s">
        <v>4386</v>
      </c>
    </row>
    <row r="202" spans="1:3" x14ac:dyDescent="0.25">
      <c r="A202" s="1468" t="s">
        <v>7219</v>
      </c>
      <c r="B202" s="1468" t="str">
        <f>IF('EBF Spending Plan 30-34'!E135="","",'EBF Spending Plan 30-34'!E135)</f>
        <v>Yes</v>
      </c>
      <c r="C202" s="1575" t="s">
        <v>4386</v>
      </c>
    </row>
    <row r="203" spans="1:3" x14ac:dyDescent="0.25">
      <c r="A203" s="1468" t="s">
        <v>7220</v>
      </c>
      <c r="B203" s="1537">
        <f>IF('EBF Spending Plan 30-34'!F137="","",'EBF Spending Plan 30-34'!F137)</f>
        <v>45250</v>
      </c>
      <c r="C203" s="1575" t="s">
        <v>4386</v>
      </c>
    </row>
    <row r="204" spans="1:3" x14ac:dyDescent="0.25">
      <c r="A204" s="1468" t="s">
        <v>7221</v>
      </c>
      <c r="B204" s="1468" t="str">
        <f>IF('EBF Spending Plan 30-34'!F138="","",'EBF Spending Plan 30-34'!F138)</f>
        <v>Yesenia Flory</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Gavin SD 37</v>
      </c>
      <c r="E1" s="2" t="b">
        <f ca="1">F1=B1</f>
        <v>1</v>
      </c>
      <c r="F1" s="2" t="str" cm="1">
        <f t="array" aca="1" ref="F1" ca="1">IF(G1&lt;&gt;"",INDIRECT("'"&amp;G1&amp;"'!"&amp;H1),"")</f>
        <v>Gavin SD 37</v>
      </c>
      <c r="G1" s="1582" t="s">
        <v>4408</v>
      </c>
      <c r="H1" s="2" t="s">
        <v>4409</v>
      </c>
      <c r="J1" t="str">
        <f ca="1">IF(COUNTIF(E:E,"FALSE")&lt;&gt;0,"Problem",IF(COUNTIF(E:E,"#REF!")&lt;&gt;0,"Problem","All Good"))</f>
        <v>All Good</v>
      </c>
      <c r="L1" s="622" t="s">
        <v>1912</v>
      </c>
      <c r="M1" s="622"/>
    </row>
    <row r="2" spans="1:19" ht="15.75" x14ac:dyDescent="0.25">
      <c r="A2" t="s">
        <v>76</v>
      </c>
      <c r="B2" s="7" t="str">
        <f>Cover!H14</f>
        <v>34049037002</v>
      </c>
      <c r="E2" s="2" t="b">
        <f t="shared" ref="E2:E65" ca="1" si="0">F2=B2</f>
        <v>1</v>
      </c>
      <c r="F2" s="2" t="str" cm="1">
        <f t="array" aca="1" ref="F2" ca="1">IF(G2&lt;&gt;"",INDIRECT("'"&amp;G2&amp;"'!"&amp;H2),"")</f>
        <v>34049037002</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9771480</v>
      </c>
      <c r="C13" s="3">
        <f t="shared" si="1"/>
        <v>-9771472</v>
      </c>
      <c r="E13" s="2" t="b">
        <f t="shared" ca="1" si="0"/>
        <v>1</v>
      </c>
      <c r="F13" s="2" cm="1">
        <f t="array" aca="1" ref="F13" ca="1">IF(G13&lt;&gt;"",INDIRECT("'"&amp;G13&amp;"'!"&amp;H13),"")</f>
        <v>9771480</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9771480</v>
      </c>
      <c r="C16" s="3">
        <f t="shared" si="1"/>
        <v>-9771469</v>
      </c>
      <c r="E16" s="2" t="b">
        <f t="shared" ca="1" si="0"/>
        <v>1</v>
      </c>
      <c r="F16" s="2" cm="1">
        <f t="array" aca="1" ref="F16" ca="1">IF(G16&lt;&gt;"",INDIRECT("'"&amp;G16&amp;"'!"&amp;H16),"")</f>
        <v>9771480</v>
      </c>
      <c r="G16" s="1582" t="s">
        <v>6960</v>
      </c>
      <c r="H16" s="2" t="s">
        <v>4422</v>
      </c>
      <c r="L16" s="1401"/>
      <c r="S16" s="8"/>
    </row>
    <row r="17" spans="1:19" x14ac:dyDescent="0.2">
      <c r="A17">
        <v>12</v>
      </c>
      <c r="B17" s="8">
        <f>'CashSum 5'!C12</f>
        <v>14753670</v>
      </c>
      <c r="C17" s="3">
        <f t="shared" si="1"/>
        <v>-14753658</v>
      </c>
      <c r="E17" s="2" t="b">
        <f t="shared" ca="1" si="0"/>
        <v>1</v>
      </c>
      <c r="F17" s="2" cm="1">
        <f t="array" aca="1" ref="F17" ca="1">IF(G17&lt;&gt;"",INDIRECT("'"&amp;G17&amp;"'!"&amp;H17),"")</f>
        <v>14753670</v>
      </c>
      <c r="G17" s="1582" t="s">
        <v>6960</v>
      </c>
      <c r="H17" s="2" t="s">
        <v>4423</v>
      </c>
      <c r="S17" s="8"/>
    </row>
    <row r="18" spans="1:19" x14ac:dyDescent="0.2">
      <c r="A18" s="2">
        <v>13</v>
      </c>
      <c r="B18" s="8">
        <f>'CashSum 5'!C13</f>
        <v>9657375</v>
      </c>
      <c r="C18" s="3">
        <f t="shared" si="1"/>
        <v>-9657362</v>
      </c>
      <c r="D18" s="4"/>
      <c r="E18" s="2" t="b">
        <f t="shared" ca="1" si="0"/>
        <v>1</v>
      </c>
      <c r="F18" s="2" cm="1">
        <f t="array" aca="1" ref="F18" ca="1">IF(G18&lt;&gt;"",INDIRECT("'"&amp;G18&amp;"'!"&amp;H18),"")</f>
        <v>9657375</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9657375</v>
      </c>
      <c r="C28" s="3">
        <f t="shared" si="1"/>
        <v>-9657352</v>
      </c>
      <c r="E28" s="2" t="b">
        <f t="shared" ca="1" si="0"/>
        <v>1</v>
      </c>
      <c r="F28" s="2" cm="1">
        <f t="array" aca="1" ref="F28" ca="1">IF(G28&lt;&gt;"",INDIRECT("'"&amp;G28&amp;"'!"&amp;H28),"")</f>
        <v>9657375</v>
      </c>
      <c r="G28" s="1582" t="s">
        <v>6960</v>
      </c>
      <c r="H28" s="2" t="s">
        <v>4430</v>
      </c>
      <c r="S28" s="8"/>
    </row>
    <row r="29" spans="1:19" x14ac:dyDescent="0.2">
      <c r="A29">
        <v>24</v>
      </c>
      <c r="B29" s="8">
        <f>'CashSum 5'!C21</f>
        <v>5096295</v>
      </c>
      <c r="C29" s="3">
        <f t="shared" si="1"/>
        <v>-5096271</v>
      </c>
      <c r="E29" s="2" t="b">
        <f t="shared" ca="1" si="0"/>
        <v>1</v>
      </c>
      <c r="F29" s="2" cm="1">
        <f t="array" aca="1" ref="F29" ca="1">IF(G29&lt;&gt;"",INDIRECT("'"&amp;G29&amp;"'!"&amp;H29),"")</f>
        <v>5096295</v>
      </c>
      <c r="G29" s="1582" t="s">
        <v>6960</v>
      </c>
      <c r="H29" s="2" t="s">
        <v>4431</v>
      </c>
      <c r="S29" s="8"/>
    </row>
    <row r="30" spans="1:19" x14ac:dyDescent="0.2">
      <c r="A30">
        <v>25</v>
      </c>
      <c r="B30" s="8">
        <f>'CashSum 5'!D4</f>
        <v>1222591</v>
      </c>
      <c r="C30" s="3">
        <f t="shared" si="1"/>
        <v>-1222566</v>
      </c>
      <c r="E30" s="2" t="b">
        <f t="shared" ca="1" si="0"/>
        <v>1</v>
      </c>
      <c r="F30" s="2" cm="1">
        <f t="array" aca="1" ref="F30" ca="1">IF(G30&lt;&gt;"",INDIRECT("'"&amp;G30&amp;"'!"&amp;H30),"")</f>
        <v>1222591</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1222591</v>
      </c>
      <c r="C33" s="3">
        <f t="shared" si="1"/>
        <v>-1222563</v>
      </c>
      <c r="E33" s="2" t="b">
        <f t="shared" ca="1" si="0"/>
        <v>1</v>
      </c>
      <c r="F33" s="2" cm="1">
        <f t="array" aca="1" ref="F33" ca="1">IF(G33&lt;&gt;"",INDIRECT("'"&amp;G33&amp;"'!"&amp;H33),"")</f>
        <v>1222591</v>
      </c>
      <c r="G33" s="1582" t="s">
        <v>6960</v>
      </c>
      <c r="H33" s="2" t="s">
        <v>4435</v>
      </c>
      <c r="S33" s="8"/>
    </row>
    <row r="34" spans="1:19" x14ac:dyDescent="0.2">
      <c r="A34" s="2">
        <v>29</v>
      </c>
      <c r="B34" s="8">
        <f>'CashSum 5'!D12</f>
        <v>1736659</v>
      </c>
      <c r="C34" s="3">
        <f t="shared" si="1"/>
        <v>-1736630</v>
      </c>
      <c r="D34" s="4"/>
      <c r="E34" s="2" t="b">
        <f t="shared" ca="1" si="0"/>
        <v>1</v>
      </c>
      <c r="F34" s="2" cm="1">
        <f t="array" aca="1" ref="F34" ca="1">IF(G34&lt;&gt;"",INDIRECT("'"&amp;G34&amp;"'!"&amp;H34),"")</f>
        <v>1736659</v>
      </c>
      <c r="G34" s="1582" t="s">
        <v>6960</v>
      </c>
      <c r="H34" s="2" t="s">
        <v>4436</v>
      </c>
      <c r="I34" s="4"/>
      <c r="J34" s="4"/>
      <c r="K34" s="4"/>
      <c r="S34" s="8"/>
    </row>
    <row r="35" spans="1:19" x14ac:dyDescent="0.2">
      <c r="A35">
        <v>30</v>
      </c>
      <c r="B35" s="8">
        <f>'CashSum 5'!D13</f>
        <v>1186722</v>
      </c>
      <c r="C35" s="3">
        <f t="shared" si="1"/>
        <v>-1186692</v>
      </c>
      <c r="E35" s="2" t="b">
        <f t="shared" ca="1" si="0"/>
        <v>1</v>
      </c>
      <c r="F35" s="2" cm="1">
        <f t="array" aca="1" ref="F35" ca="1">IF(G35&lt;&gt;"",INDIRECT("'"&amp;G35&amp;"'!"&amp;H35),"")</f>
        <v>1186722</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1186722</v>
      </c>
      <c r="C45" s="3">
        <f t="shared" si="1"/>
        <v>-1186682</v>
      </c>
      <c r="E45" s="2" t="b">
        <f t="shared" ca="1" si="0"/>
        <v>1</v>
      </c>
      <c r="F45" s="2" cm="1">
        <f t="array" aca="1" ref="F45" ca="1">IF(G45&lt;&gt;"",INDIRECT("'"&amp;G45&amp;"'!"&amp;H45),"")</f>
        <v>1186722</v>
      </c>
      <c r="G45" s="1582" t="s">
        <v>6960</v>
      </c>
      <c r="H45" s="2" t="s">
        <v>4442</v>
      </c>
      <c r="S45" s="8"/>
    </row>
    <row r="46" spans="1:19" x14ac:dyDescent="0.2">
      <c r="A46">
        <v>41</v>
      </c>
      <c r="B46" s="8">
        <f>'CashSum 5'!D21</f>
        <v>549937</v>
      </c>
      <c r="C46" s="3">
        <f t="shared" si="1"/>
        <v>-549896</v>
      </c>
      <c r="E46" s="2" t="b">
        <f t="shared" ca="1" si="0"/>
        <v>1</v>
      </c>
      <c r="F46" s="2" cm="1">
        <f t="array" aca="1" ref="F46" ca="1">IF(G46&lt;&gt;"",INDIRECT("'"&amp;G46&amp;"'!"&amp;H46),"")</f>
        <v>549937</v>
      </c>
      <c r="G46" s="1582" t="s">
        <v>6960</v>
      </c>
      <c r="H46" s="2" t="s">
        <v>4443</v>
      </c>
      <c r="S46" s="8"/>
    </row>
    <row r="47" spans="1:19" x14ac:dyDescent="0.2">
      <c r="A47" s="2">
        <v>42</v>
      </c>
      <c r="B47" s="8">
        <f>'CashSum 5'!E4</f>
        <v>453066</v>
      </c>
      <c r="C47" s="3">
        <f t="shared" si="1"/>
        <v>-453024</v>
      </c>
      <c r="D47" s="4"/>
      <c r="E47" s="2" t="b">
        <f t="shared" ca="1" si="0"/>
        <v>1</v>
      </c>
      <c r="F47" s="2" cm="1">
        <f t="array" aca="1" ref="F47" ca="1">IF(G47&lt;&gt;"",INDIRECT("'"&amp;G47&amp;"'!"&amp;H47),"")</f>
        <v>453066</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453066</v>
      </c>
      <c r="C49" s="3">
        <f t="shared" si="1"/>
        <v>-453022</v>
      </c>
      <c r="E49" s="2" t="b">
        <f t="shared" ca="1" si="0"/>
        <v>1</v>
      </c>
      <c r="F49" s="2" cm="1">
        <f t="array" aca="1" ref="F49" ca="1">IF(G49&lt;&gt;"",INDIRECT("'"&amp;G49&amp;"'!"&amp;H49),"")</f>
        <v>453066</v>
      </c>
      <c r="G49" s="1582" t="s">
        <v>6960</v>
      </c>
      <c r="H49" s="2" t="s">
        <v>4446</v>
      </c>
      <c r="S49" s="8"/>
    </row>
    <row r="50" spans="1:19" x14ac:dyDescent="0.2">
      <c r="A50" s="2">
        <v>45</v>
      </c>
      <c r="B50" s="8">
        <f>'CashSum 5'!E12</f>
        <v>684903</v>
      </c>
      <c r="C50" s="3">
        <f t="shared" si="1"/>
        <v>-684858</v>
      </c>
      <c r="D50" s="4"/>
      <c r="E50" s="2" t="b">
        <f t="shared" ca="1" si="0"/>
        <v>1</v>
      </c>
      <c r="F50" s="2" cm="1">
        <f t="array" aca="1" ref="F50" ca="1">IF(G50&lt;&gt;"",INDIRECT("'"&amp;G50&amp;"'!"&amp;H50),"")</f>
        <v>684903</v>
      </c>
      <c r="G50" s="1582" t="s">
        <v>6960</v>
      </c>
      <c r="H50" s="2" t="s">
        <v>4447</v>
      </c>
      <c r="I50" s="4"/>
      <c r="J50" s="4"/>
      <c r="K50" s="4"/>
      <c r="S50" s="8"/>
    </row>
    <row r="51" spans="1:19" x14ac:dyDescent="0.2">
      <c r="A51" s="2">
        <v>46</v>
      </c>
      <c r="B51" s="8">
        <f>'CashSum 5'!E13</f>
        <v>428960</v>
      </c>
      <c r="C51" s="3">
        <f t="shared" si="1"/>
        <v>-428914</v>
      </c>
      <c r="D51" s="4"/>
      <c r="E51" s="2" t="b">
        <f t="shared" ca="1" si="0"/>
        <v>1</v>
      </c>
      <c r="F51" s="2" cm="1">
        <f t="array" aca="1" ref="F51" ca="1">IF(G51&lt;&gt;"",INDIRECT("'"&amp;G51&amp;"'!"&amp;H51),"")</f>
        <v>428960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428960</v>
      </c>
      <c r="C59" s="3">
        <f t="shared" si="1"/>
        <v>-428906</v>
      </c>
      <c r="E59" s="2" t="b">
        <f t="shared" ca="1" si="0"/>
        <v>1</v>
      </c>
      <c r="F59" s="2" cm="1">
        <f t="array" aca="1" ref="F59" ca="1">IF(G59&lt;&gt;"",INDIRECT("'"&amp;G59&amp;"'!"&amp;H59),"")</f>
        <v>428960</v>
      </c>
      <c r="G59" s="1582" t="s">
        <v>6960</v>
      </c>
      <c r="H59" s="2" t="s">
        <v>4452</v>
      </c>
      <c r="S59" s="8"/>
    </row>
    <row r="60" spans="1:19" x14ac:dyDescent="0.2">
      <c r="A60">
        <v>55</v>
      </c>
      <c r="B60" s="8">
        <f>'CashSum 5'!E21</f>
        <v>255943</v>
      </c>
      <c r="C60" s="3">
        <f t="shared" si="1"/>
        <v>-255888</v>
      </c>
      <c r="E60" s="2" t="b">
        <f t="shared" ca="1" si="0"/>
        <v>1</v>
      </c>
      <c r="F60" s="2" cm="1">
        <f t="array" aca="1" ref="F60" ca="1">IF(G60&lt;&gt;"",INDIRECT("'"&amp;G60&amp;"'!"&amp;H60),"")</f>
        <v>255943</v>
      </c>
      <c r="G60" s="1582" t="s">
        <v>6960</v>
      </c>
      <c r="H60" s="2" t="s">
        <v>4453</v>
      </c>
      <c r="S60" s="8"/>
    </row>
    <row r="61" spans="1:19" x14ac:dyDescent="0.2">
      <c r="A61">
        <v>56</v>
      </c>
      <c r="B61" s="8">
        <f>'CashSum 5'!F4</f>
        <v>757774</v>
      </c>
      <c r="C61" s="3">
        <f t="shared" si="1"/>
        <v>-757718</v>
      </c>
      <c r="E61" s="2" t="b">
        <f t="shared" ca="1" si="0"/>
        <v>1</v>
      </c>
      <c r="F61" s="2" cm="1">
        <f t="array" aca="1" ref="F61" ca="1">IF(G61&lt;&gt;"",INDIRECT("'"&amp;G61&amp;"'!"&amp;H61),"")</f>
        <v>757774</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757774</v>
      </c>
      <c r="C64" s="3">
        <f t="shared" si="1"/>
        <v>-757715</v>
      </c>
      <c r="E64" s="2" t="b">
        <f t="shared" ca="1" si="0"/>
        <v>1</v>
      </c>
      <c r="F64" s="2" cm="1">
        <f t="array" aca="1" ref="F64" ca="1">IF(G64&lt;&gt;"",INDIRECT("'"&amp;G64&amp;"'!"&amp;H64),"")</f>
        <v>757774</v>
      </c>
      <c r="G64" s="1582" t="s">
        <v>6960</v>
      </c>
      <c r="H64" s="2" t="s">
        <v>4457</v>
      </c>
      <c r="S64" s="8"/>
    </row>
    <row r="65" spans="1:19" x14ac:dyDescent="0.2">
      <c r="A65" s="2">
        <v>60</v>
      </c>
      <c r="B65" s="8">
        <f>'CashSum 5'!F12</f>
        <v>1109668</v>
      </c>
      <c r="C65" s="3">
        <f t="shared" si="1"/>
        <v>-1109608</v>
      </c>
      <c r="D65" s="4"/>
      <c r="E65" s="2" t="b">
        <f t="shared" ca="1" si="0"/>
        <v>1</v>
      </c>
      <c r="F65" s="2" cm="1">
        <f t="array" aca="1" ref="F65" ca="1">IF(G65&lt;&gt;"",INDIRECT("'"&amp;G65&amp;"'!"&amp;H65),"")</f>
        <v>1109668</v>
      </c>
      <c r="G65" s="1582" t="s">
        <v>6960</v>
      </c>
      <c r="H65" s="2" t="s">
        <v>4458</v>
      </c>
      <c r="I65" s="4"/>
      <c r="J65" s="4"/>
      <c r="K65" s="4"/>
      <c r="S65" s="8"/>
    </row>
    <row r="66" spans="1:19" x14ac:dyDescent="0.2">
      <c r="A66">
        <v>61</v>
      </c>
      <c r="B66" s="8">
        <f>'CashSum 5'!F13</f>
        <v>686359</v>
      </c>
      <c r="C66" s="3">
        <f t="shared" si="1"/>
        <v>-686298</v>
      </c>
      <c r="E66" s="2" t="b">
        <f t="shared" ref="E66:E129" ca="1" si="2">F66=B66</f>
        <v>1</v>
      </c>
      <c r="F66" s="2" cm="1">
        <f t="array" aca="1" ref="F66" ca="1">IF(G66&lt;&gt;"",INDIRECT("'"&amp;G66&amp;"'!"&amp;H66),"")</f>
        <v>686359</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686359</v>
      </c>
      <c r="C76" s="3">
        <f t="shared" si="3"/>
        <v>-686288</v>
      </c>
      <c r="E76" s="2" t="b">
        <f t="shared" ca="1" si="2"/>
        <v>1</v>
      </c>
      <c r="F76" s="2" cm="1">
        <f t="array" aca="1" ref="F76" ca="1">IF(G76&lt;&gt;"",INDIRECT("'"&amp;G76&amp;"'!"&amp;H76),"")</f>
        <v>686359</v>
      </c>
      <c r="G76" s="1582" t="s">
        <v>6960</v>
      </c>
      <c r="H76" s="2" t="s">
        <v>4464</v>
      </c>
      <c r="S76" s="8"/>
    </row>
    <row r="77" spans="1:19" x14ac:dyDescent="0.2">
      <c r="A77">
        <v>72</v>
      </c>
      <c r="B77" s="8">
        <f>'CashSum 5'!F21</f>
        <v>423309</v>
      </c>
      <c r="C77" s="3">
        <f t="shared" si="3"/>
        <v>-423237</v>
      </c>
      <c r="E77" s="2" t="b">
        <f t="shared" ca="1" si="2"/>
        <v>1</v>
      </c>
      <c r="F77" s="2" cm="1">
        <f t="array" aca="1" ref="F77" ca="1">IF(G77&lt;&gt;"",INDIRECT("'"&amp;G77&amp;"'!"&amp;H77),"")</f>
        <v>423309</v>
      </c>
      <c r="G77" s="1582" t="s">
        <v>6960</v>
      </c>
      <c r="H77" s="2" t="s">
        <v>4465</v>
      </c>
      <c r="S77" s="8"/>
    </row>
    <row r="78" spans="1:19" x14ac:dyDescent="0.2">
      <c r="A78">
        <v>73</v>
      </c>
      <c r="B78" s="8">
        <f>'CashSum 5'!G4</f>
        <v>356060</v>
      </c>
      <c r="C78" s="3">
        <f t="shared" si="3"/>
        <v>-355987</v>
      </c>
      <c r="E78" s="2" t="b">
        <f t="shared" ca="1" si="2"/>
        <v>1</v>
      </c>
      <c r="F78" s="2" cm="1">
        <f t="array" aca="1" ref="F78" ca="1">IF(G78&lt;&gt;"",INDIRECT("'"&amp;G78&amp;"'!"&amp;H78),"")</f>
        <v>356060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356060</v>
      </c>
      <c r="C80" s="3">
        <f t="shared" si="3"/>
        <v>-355985</v>
      </c>
      <c r="D80" s="4"/>
      <c r="E80" s="2" t="b">
        <f t="shared" ca="1" si="2"/>
        <v>1</v>
      </c>
      <c r="F80" s="2" cm="1">
        <f t="array" aca="1" ref="F80" ca="1">IF(G80&lt;&gt;"",INDIRECT("'"&amp;G80&amp;"'!"&amp;H80),"")</f>
        <v>356060</v>
      </c>
      <c r="G80" s="1582" t="s">
        <v>6960</v>
      </c>
      <c r="H80" s="2" t="s">
        <v>4468</v>
      </c>
      <c r="I80" s="4"/>
      <c r="J80" s="4"/>
      <c r="K80" s="4"/>
      <c r="S80" s="8"/>
    </row>
    <row r="81" spans="1:19" x14ac:dyDescent="0.2">
      <c r="A81" s="2">
        <v>76</v>
      </c>
      <c r="B81" s="8">
        <f>'CashSum 5'!G12</f>
        <v>464336</v>
      </c>
      <c r="C81" s="3">
        <f t="shared" si="3"/>
        <v>-464260</v>
      </c>
      <c r="D81" s="4"/>
      <c r="E81" s="2" t="b">
        <f t="shared" ca="1" si="2"/>
        <v>1</v>
      </c>
      <c r="F81" s="2" cm="1">
        <f t="array" aca="1" ref="F81" ca="1">IF(G81&lt;&gt;"",INDIRECT("'"&amp;G81&amp;"'!"&amp;H81),"")</f>
        <v>464336</v>
      </c>
      <c r="G81" s="1582" t="s">
        <v>6960</v>
      </c>
      <c r="H81" s="2" t="s">
        <v>4469</v>
      </c>
      <c r="I81" s="4"/>
      <c r="J81" s="4"/>
      <c r="K81" s="4"/>
      <c r="S81" s="8"/>
    </row>
    <row r="82" spans="1:19" x14ac:dyDescent="0.2">
      <c r="A82" s="2">
        <v>77</v>
      </c>
      <c r="B82" s="8">
        <f>'CashSum 5'!G13</f>
        <v>288329</v>
      </c>
      <c r="C82" s="3">
        <f t="shared" si="3"/>
        <v>-288252</v>
      </c>
      <c r="D82" s="4"/>
      <c r="E82" s="2" t="b">
        <f t="shared" ca="1" si="2"/>
        <v>1</v>
      </c>
      <c r="F82" s="2" cm="1">
        <f t="array" aca="1" ref="F82" ca="1">IF(G82&lt;&gt;"",INDIRECT("'"&amp;G82&amp;"'!"&amp;H82),"")</f>
        <v>288329</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288329</v>
      </c>
      <c r="C90" s="3">
        <f t="shared" si="3"/>
        <v>-288244</v>
      </c>
      <c r="E90" s="2" t="b">
        <f t="shared" ca="1" si="2"/>
        <v>1</v>
      </c>
      <c r="F90" s="2" cm="1">
        <f t="array" aca="1" ref="F90" ca="1">IF(G90&lt;&gt;"",INDIRECT("'"&amp;G90&amp;"'!"&amp;H90),"")</f>
        <v>288329</v>
      </c>
      <c r="G90" s="1582" t="s">
        <v>6960</v>
      </c>
      <c r="H90" s="2" t="s">
        <v>4474</v>
      </c>
      <c r="S90" s="8"/>
    </row>
    <row r="91" spans="1:19" x14ac:dyDescent="0.2">
      <c r="A91" s="2">
        <v>86</v>
      </c>
      <c r="B91" s="8">
        <f>'CashSum 5'!G21</f>
        <v>176007</v>
      </c>
      <c r="C91" s="3">
        <f t="shared" si="3"/>
        <v>-175921</v>
      </c>
      <c r="D91" s="4"/>
      <c r="E91" s="2" t="b">
        <f t="shared" ca="1" si="2"/>
        <v>1</v>
      </c>
      <c r="F91" s="2" cm="1">
        <f t="array" aca="1" ref="F91" ca="1">IF(G91&lt;&gt;"",INDIRECT("'"&amp;G91&amp;"'!"&amp;H91),"")</f>
        <v>176007</v>
      </c>
      <c r="G91" s="1582" t="s">
        <v>6960</v>
      </c>
      <c r="H91" s="2" t="s">
        <v>4475</v>
      </c>
      <c r="I91" s="4"/>
      <c r="J91" s="4"/>
      <c r="K91" s="4"/>
      <c r="S91" s="8"/>
    </row>
    <row r="92" spans="1:19" x14ac:dyDescent="0.2">
      <c r="A92" s="2">
        <v>87</v>
      </c>
      <c r="B92" s="8">
        <f>'CashSum 5'!H4</f>
        <v>0</v>
      </c>
      <c r="C92" s="3">
        <f t="shared" si="3"/>
        <v>87</v>
      </c>
      <c r="D92" s="4"/>
      <c r="E92" s="2" t="b">
        <f t="shared" ca="1" si="2"/>
        <v>1</v>
      </c>
      <c r="F92" s="2" cm="1">
        <f t="array" aca="1" ref="F92" ca="1">IF(G92&lt;&gt;"",INDIRECT("'"&amp;G92&amp;"'!"&amp;H92),"")</f>
        <v>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0</v>
      </c>
      <c r="C94" s="3">
        <f t="shared" si="3"/>
        <v>89</v>
      </c>
      <c r="E94" s="2" t="b">
        <f t="shared" ca="1" si="2"/>
        <v>1</v>
      </c>
      <c r="F94" s="2" cm="1">
        <f t="array" aca="1" ref="F94" ca="1">IF(G94&lt;&gt;"",INDIRECT("'"&amp;G94&amp;"'!"&amp;H94),"")</f>
        <v>0</v>
      </c>
      <c r="G94" s="1582" t="s">
        <v>6960</v>
      </c>
      <c r="H94" s="2" t="s">
        <v>4478</v>
      </c>
      <c r="S94" s="8"/>
    </row>
    <row r="95" spans="1:19" x14ac:dyDescent="0.2">
      <c r="A95" s="2">
        <v>90</v>
      </c>
      <c r="B95" s="8">
        <f>'CashSum 5'!H12</f>
        <v>0</v>
      </c>
      <c r="C95" s="3">
        <f t="shared" si="3"/>
        <v>90</v>
      </c>
      <c r="D95" s="4"/>
      <c r="E95" s="2" t="b">
        <f t="shared" ca="1" si="2"/>
        <v>1</v>
      </c>
      <c r="F95" s="2" cm="1">
        <f t="array" aca="1" ref="F95" ca="1">IF(G95&lt;&gt;"",INDIRECT("'"&amp;G95&amp;"'!"&amp;H95),"")</f>
        <v>0</v>
      </c>
      <c r="G95" s="1582" t="s">
        <v>6960</v>
      </c>
      <c r="H95" s="2" t="s">
        <v>4479</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6960</v>
      </c>
      <c r="H100" s="2" t="s">
        <v>4482</v>
      </c>
      <c r="S100" s="8"/>
    </row>
    <row r="101" spans="1:19" x14ac:dyDescent="0.2">
      <c r="A101">
        <v>96</v>
      </c>
      <c r="B101" s="8">
        <f>'CashSum 5'!H21</f>
        <v>0</v>
      </c>
      <c r="C101" s="3">
        <f t="shared" si="3"/>
        <v>96</v>
      </c>
      <c r="E101" s="2" t="b">
        <f t="shared" ca="1" si="2"/>
        <v>1</v>
      </c>
      <c r="F101" s="2" cm="1">
        <f t="array" aca="1" ref="F101" ca="1">IF(G101&lt;&gt;"",INDIRECT("'"&amp;G101&amp;"'!"&amp;H101),"")</f>
        <v>0</v>
      </c>
      <c r="G101" s="1582" t="s">
        <v>6960</v>
      </c>
      <c r="H101" s="2" t="s">
        <v>4483</v>
      </c>
      <c r="S101" s="8"/>
    </row>
    <row r="102" spans="1:19" x14ac:dyDescent="0.2">
      <c r="A102" s="2">
        <v>97</v>
      </c>
      <c r="B102" s="8">
        <f>'CashSum 5'!I4</f>
        <v>69889</v>
      </c>
      <c r="C102" s="3">
        <f t="shared" si="3"/>
        <v>-69792</v>
      </c>
      <c r="D102" s="4"/>
      <c r="E102" s="2" t="b">
        <f t="shared" ca="1" si="2"/>
        <v>1</v>
      </c>
      <c r="F102" s="2" cm="1">
        <f t="array" aca="1" ref="F102" ca="1">IF(G102&lt;&gt;"",INDIRECT("'"&amp;G102&amp;"'!"&amp;H102),"")</f>
        <v>69889</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69889</v>
      </c>
      <c r="C105" s="3">
        <f t="shared" si="3"/>
        <v>-69789</v>
      </c>
      <c r="D105" s="4"/>
      <c r="E105" s="2" t="b">
        <f t="shared" ca="1" si="2"/>
        <v>1</v>
      </c>
      <c r="F105" s="2" cm="1">
        <f t="array" aca="1" ref="F105" ca="1">IF(G105&lt;&gt;"",INDIRECT("'"&amp;G105&amp;"'!"&amp;H105),"")</f>
        <v>69889</v>
      </c>
      <c r="G105" s="1582" t="s">
        <v>6960</v>
      </c>
      <c r="H105" s="2" t="s">
        <v>4487</v>
      </c>
      <c r="I105" s="4"/>
      <c r="J105" s="4"/>
      <c r="K105" s="4"/>
      <c r="S105" s="8"/>
    </row>
    <row r="106" spans="1:19" x14ac:dyDescent="0.2">
      <c r="A106" s="2">
        <v>101</v>
      </c>
      <c r="B106" s="8">
        <f>'CashSum 5'!I12</f>
        <v>365392</v>
      </c>
      <c r="C106" s="3">
        <f t="shared" si="3"/>
        <v>-365291</v>
      </c>
      <c r="E106" s="2" t="b">
        <f t="shared" ca="1" si="2"/>
        <v>1</v>
      </c>
      <c r="F106" s="2" cm="1">
        <f t="array" aca="1" ref="F106" ca="1">IF(G106&lt;&gt;"",INDIRECT("'"&amp;G106&amp;"'!"&amp;H106),"")</f>
        <v>365392</v>
      </c>
      <c r="G106" s="1582" t="s">
        <v>6960</v>
      </c>
      <c r="H106" s="2" t="s">
        <v>4488</v>
      </c>
      <c r="S106" s="8"/>
    </row>
    <row r="107" spans="1:19" x14ac:dyDescent="0.2">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x14ac:dyDescent="0.2">
      <c r="A112" s="2">
        <v>107</v>
      </c>
      <c r="B112" s="8">
        <f>'CashSum 5'!I21</f>
        <v>365392</v>
      </c>
      <c r="C112" s="3">
        <f t="shared" si="3"/>
        <v>-365285</v>
      </c>
      <c r="E112" s="2" t="b">
        <f t="shared" ca="1" si="2"/>
        <v>1</v>
      </c>
      <c r="F112" s="2" cm="1">
        <f t="array" aca="1" ref="F112" ca="1">IF(G112&lt;&gt;"",INDIRECT("'"&amp;G112&amp;"'!"&amp;H112),"")</f>
        <v>365392</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0</v>
      </c>
      <c r="C125" s="3">
        <f t="shared" si="3"/>
        <v>120</v>
      </c>
      <c r="E125" s="2" t="b">
        <f t="shared" ca="1" si="2"/>
        <v>1</v>
      </c>
      <c r="F125" s="2" cm="1">
        <f t="array" aca="1" ref="F125" ca="1">IF(G125&lt;&gt;"",INDIRECT("'"&amp;G125&amp;"'!"&amp;H125),"")</f>
        <v>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0</v>
      </c>
      <c r="C127" s="3">
        <f t="shared" si="3"/>
        <v>122</v>
      </c>
      <c r="E127" s="2" t="b">
        <f t="shared" ca="1" si="2"/>
        <v>1</v>
      </c>
      <c r="F127" s="2" cm="1">
        <f t="array" aca="1" ref="F127" ca="1">IF(G127&lt;&gt;"",INDIRECT("'"&amp;G127&amp;"'!"&amp;H127),"")</f>
        <v>0</v>
      </c>
      <c r="G127" s="1582" t="s">
        <v>6960</v>
      </c>
      <c r="H127" s="2" t="s">
        <v>4496</v>
      </c>
      <c r="S127" s="8"/>
    </row>
    <row r="128" spans="1:19" x14ac:dyDescent="0.2">
      <c r="A128">
        <v>123</v>
      </c>
      <c r="B128" s="8">
        <f>'CashSum 5'!K12</f>
        <v>0</v>
      </c>
      <c r="C128" s="3">
        <f t="shared" si="3"/>
        <v>123</v>
      </c>
      <c r="E128" s="2" t="b">
        <f t="shared" ca="1" si="2"/>
        <v>1</v>
      </c>
      <c r="F128" s="2" cm="1">
        <f t="array" aca="1" ref="F128" ca="1">IF(G128&lt;&gt;"",INDIRECT("'"&amp;G128&amp;"'!"&amp;H128),"")</f>
        <v>0</v>
      </c>
      <c r="G128" s="1582" t="s">
        <v>6960</v>
      </c>
      <c r="H128" s="2" t="s">
        <v>4497</v>
      </c>
      <c r="S128" s="8"/>
    </row>
    <row r="129" spans="1:19" x14ac:dyDescent="0.2">
      <c r="A129">
        <v>124</v>
      </c>
      <c r="B129" s="8">
        <f>'CashSum 5'!K13</f>
        <v>0</v>
      </c>
      <c r="C129" s="3">
        <f t="shared" si="3"/>
        <v>124</v>
      </c>
      <c r="E129" s="2" t="b">
        <f t="shared" ca="1" si="2"/>
        <v>1</v>
      </c>
      <c r="F129" s="2" cm="1">
        <f t="array" aca="1" ref="F129" ca="1">IF(G129&lt;&gt;"",INDIRECT("'"&amp;G129&amp;"'!"&amp;H129),"")</f>
        <v>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82" t="s">
        <v>6960</v>
      </c>
      <c r="H136" s="2" t="s">
        <v>4502</v>
      </c>
      <c r="I136" s="4"/>
      <c r="J136" s="4"/>
      <c r="K136" s="4"/>
      <c r="S136" s="8"/>
    </row>
    <row r="137" spans="1:19" x14ac:dyDescent="0.2">
      <c r="A137" s="2">
        <v>132</v>
      </c>
      <c r="B137" s="8">
        <f>'CashSum 5'!K21</f>
        <v>0</v>
      </c>
      <c r="C137" s="3">
        <f t="shared" si="5"/>
        <v>132</v>
      </c>
      <c r="D137" s="4"/>
      <c r="E137" s="2" t="b">
        <f t="shared" ca="1" si="4"/>
        <v>1</v>
      </c>
      <c r="F137" s="2" cm="1">
        <f t="array" aca="1" ref="F137" ca="1">IF(G137&lt;&gt;"",INDIRECT("'"&amp;G137&amp;"'!"&amp;H137),"")</f>
        <v>0</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3093564</v>
      </c>
      <c r="C649" s="3">
        <f t="shared" ref="C649:C708" si="19">A649-B649</f>
        <v>-3092920</v>
      </c>
      <c r="E649" s="2" t="b">
        <f t="shared" ca="1" si="18"/>
        <v>1</v>
      </c>
      <c r="F649" s="2" cm="1">
        <f t="array" aca="1" ref="F649" ca="1">IF(G649&lt;&gt;"",INDIRECT("'"&amp;G649&amp;"'!"&amp;H649),"")</f>
        <v>3093564</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129571</v>
      </c>
      <c r="C656" s="3">
        <f t="shared" si="19"/>
        <v>-128920</v>
      </c>
      <c r="E656" s="2" t="b">
        <f t="shared" ca="1" si="18"/>
        <v>1</v>
      </c>
      <c r="F656" s="2" cm="1">
        <f t="array" aca="1" ref="F656" ca="1">IF(G656&lt;&gt;"",INDIRECT("'"&amp;G656&amp;"'!"&amp;H656),"")</f>
        <v>129571</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0</v>
      </c>
      <c r="C661" s="3">
        <f t="shared" si="19"/>
        <v>656</v>
      </c>
      <c r="E661" s="2" t="b">
        <f t="shared" ca="1" si="18"/>
        <v>1</v>
      </c>
      <c r="F661" s="2" cm="1">
        <f t="array" aca="1" ref="F661" ca="1">IF(G661&lt;&gt;"",INDIRECT("'"&amp;G661&amp;"'!"&amp;H661),"")</f>
        <v>0</v>
      </c>
      <c r="G661" s="1582" t="s">
        <v>6961</v>
      </c>
      <c r="H661" s="2" t="s">
        <v>4424</v>
      </c>
    </row>
    <row r="662" spans="1:11" x14ac:dyDescent="0.2">
      <c r="A662">
        <v>657</v>
      </c>
      <c r="B662" s="7">
        <f>'EstExp 12-20'!C14</f>
        <v>63000</v>
      </c>
      <c r="C662" s="3">
        <f t="shared" si="19"/>
        <v>-62343</v>
      </c>
      <c r="E662" s="2" t="b">
        <f t="shared" ca="1" si="18"/>
        <v>1</v>
      </c>
      <c r="F662" s="2" cm="1">
        <f t="array" aca="1" ref="F662" ca="1">IF(G662&lt;&gt;"",INDIRECT("'"&amp;G662&amp;"'!"&amp;H662),"")</f>
        <v>63000</v>
      </c>
      <c r="G662" s="1582" t="s">
        <v>6961</v>
      </c>
      <c r="H662" s="2" t="s">
        <v>4534</v>
      </c>
    </row>
    <row r="663" spans="1:11" x14ac:dyDescent="0.2">
      <c r="A663">
        <v>658</v>
      </c>
      <c r="B663" s="7">
        <f>'EstExp 12-20'!C15</f>
        <v>0</v>
      </c>
      <c r="C663" s="3">
        <f t="shared" si="19"/>
        <v>658</v>
      </c>
      <c r="E663" s="2" t="b">
        <f t="shared" ca="1" si="18"/>
        <v>1</v>
      </c>
      <c r="F663" s="2" cm="1">
        <f t="array" aca="1" ref="F663" ca="1">IF(G663&lt;&gt;"",INDIRECT("'"&amp;G663&amp;"'!"&amp;H663),"")</f>
        <v>0</v>
      </c>
      <c r="G663" s="1582" t="s">
        <v>6961</v>
      </c>
      <c r="H663" s="2" t="s">
        <v>4425</v>
      </c>
    </row>
    <row r="664" spans="1:11" x14ac:dyDescent="0.2">
      <c r="A664">
        <v>659</v>
      </c>
      <c r="B664" s="7">
        <f>'EstExp 12-20'!C34</f>
        <v>4223247</v>
      </c>
      <c r="C664" s="3">
        <f t="shared" si="19"/>
        <v>-4222588</v>
      </c>
      <c r="E664" s="2" t="b">
        <f t="shared" ca="1" si="18"/>
        <v>1</v>
      </c>
      <c r="F664" s="2" cm="1">
        <f t="array" aca="1" ref="F664" ca="1">IF(G664&lt;&gt;"",INDIRECT("'"&amp;G664&amp;"'!"&amp;H664),"")</f>
        <v>4223247</v>
      </c>
      <c r="G664" s="1582" t="s">
        <v>6961</v>
      </c>
      <c r="H664" s="2" t="s">
        <v>4535</v>
      </c>
    </row>
    <row r="665" spans="1:11" x14ac:dyDescent="0.2">
      <c r="A665">
        <v>660</v>
      </c>
      <c r="B665" s="7">
        <f>'EstExp 12-20'!C38</f>
        <v>100775</v>
      </c>
      <c r="C665" s="3">
        <f t="shared" si="19"/>
        <v>-100115</v>
      </c>
      <c r="E665" s="2" t="b">
        <f t="shared" ca="1" si="18"/>
        <v>1</v>
      </c>
      <c r="F665" s="2" cm="1">
        <f t="array" aca="1" ref="F665" ca="1">IF(G665&lt;&gt;"",INDIRECT("'"&amp;G665&amp;"'!"&amp;H665),"")</f>
        <v>100775</v>
      </c>
      <c r="G665" s="1582" t="s">
        <v>6961</v>
      </c>
      <c r="H665" s="2" t="s">
        <v>4536</v>
      </c>
    </row>
    <row r="666" spans="1:11" x14ac:dyDescent="0.2">
      <c r="A666">
        <v>661</v>
      </c>
      <c r="B666" s="7">
        <f>'EstExp 12-20'!C39</f>
        <v>0</v>
      </c>
      <c r="C666" s="3">
        <f t="shared" si="19"/>
        <v>661</v>
      </c>
      <c r="E666" s="2" t="b">
        <f t="shared" ca="1" si="18"/>
        <v>1</v>
      </c>
      <c r="F666" s="2" cm="1">
        <f t="array" aca="1" ref="F666" ca="1">IF(G666&lt;&gt;"",INDIRECT("'"&amp;G666&amp;"'!"&amp;H666),"")</f>
        <v>0</v>
      </c>
      <c r="G666" s="1582" t="s">
        <v>6961</v>
      </c>
      <c r="H666" s="2" t="s">
        <v>4537</v>
      </c>
    </row>
    <row r="667" spans="1:11" x14ac:dyDescent="0.2">
      <c r="A667">
        <v>662</v>
      </c>
      <c r="B667" s="7">
        <f>'EstExp 12-20'!C40</f>
        <v>125819</v>
      </c>
      <c r="C667" s="3">
        <f t="shared" si="19"/>
        <v>-125157</v>
      </c>
      <c r="E667" s="2" t="b">
        <f t="shared" ca="1" si="18"/>
        <v>1</v>
      </c>
      <c r="F667" s="2" cm="1">
        <f t="array" aca="1" ref="F667" ca="1">IF(G667&lt;&gt;"",INDIRECT("'"&amp;G667&amp;"'!"&amp;H667),"")</f>
        <v>125819</v>
      </c>
      <c r="G667" s="1582" t="s">
        <v>6961</v>
      </c>
      <c r="H667" s="2" t="s">
        <v>4538</v>
      </c>
    </row>
    <row r="668" spans="1:11" x14ac:dyDescent="0.2">
      <c r="A668">
        <v>663</v>
      </c>
      <c r="B668" s="7">
        <f>'EstExp 12-20'!C41</f>
        <v>86680</v>
      </c>
      <c r="C668" s="3">
        <f t="shared" si="19"/>
        <v>-86017</v>
      </c>
      <c r="E668" s="2" t="b">
        <f t="shared" ca="1" si="18"/>
        <v>1</v>
      </c>
      <c r="F668" s="2" cm="1">
        <f t="array" aca="1" ref="F668" ca="1">IF(G668&lt;&gt;"",INDIRECT("'"&amp;G668&amp;"'!"&amp;H668),"")</f>
        <v>86680</v>
      </c>
      <c r="G668" s="1582" t="s">
        <v>6961</v>
      </c>
      <c r="H668" s="2" t="s">
        <v>4539</v>
      </c>
    </row>
    <row r="669" spans="1:11" x14ac:dyDescent="0.2">
      <c r="A669">
        <v>664</v>
      </c>
      <c r="B669" s="7">
        <f>'EstExp 12-20'!C42</f>
        <v>66161</v>
      </c>
      <c r="C669" s="3">
        <f t="shared" si="19"/>
        <v>-65497</v>
      </c>
      <c r="E669" s="2" t="b">
        <f t="shared" ca="1" si="18"/>
        <v>1</v>
      </c>
      <c r="F669" s="2" cm="1">
        <f t="array" aca="1" ref="F669" ca="1">IF(G669&lt;&gt;"",INDIRECT("'"&amp;G669&amp;"'!"&amp;H669),"")</f>
        <v>66161</v>
      </c>
      <c r="G669" s="1582" t="s">
        <v>6961</v>
      </c>
      <c r="H669" s="2" t="s">
        <v>4540</v>
      </c>
    </row>
    <row r="670" spans="1:11" x14ac:dyDescent="0.2">
      <c r="A670">
        <v>665</v>
      </c>
      <c r="B670" s="7">
        <f>'EstExp 12-20'!C43</f>
        <v>62853</v>
      </c>
      <c r="C670" s="3">
        <f t="shared" si="19"/>
        <v>-62188</v>
      </c>
      <c r="E670" s="2" t="b">
        <f t="shared" ca="1" si="18"/>
        <v>1</v>
      </c>
      <c r="F670" s="2" cm="1">
        <f t="array" aca="1" ref="F670" ca="1">IF(G670&lt;&gt;"",INDIRECT("'"&amp;G670&amp;"'!"&amp;H670),"")</f>
        <v>62853</v>
      </c>
      <c r="G670" s="1582" t="s">
        <v>6961</v>
      </c>
      <c r="H670" s="2" t="s">
        <v>4541</v>
      </c>
    </row>
    <row r="671" spans="1:11" x14ac:dyDescent="0.2">
      <c r="A671">
        <v>666</v>
      </c>
      <c r="B671" s="7">
        <f>'EstExp 12-20'!C44</f>
        <v>442288</v>
      </c>
      <c r="C671" s="3">
        <f t="shared" si="19"/>
        <v>-441622</v>
      </c>
      <c r="E671" s="2" t="b">
        <f t="shared" ca="1" si="18"/>
        <v>1</v>
      </c>
      <c r="F671" s="2" cm="1">
        <f t="array" aca="1" ref="F671" ca="1">IF(G671&lt;&gt;"",INDIRECT("'"&amp;G671&amp;"'!"&amp;H671),"")</f>
        <v>442288</v>
      </c>
      <c r="G671" s="1582" t="s">
        <v>6961</v>
      </c>
      <c r="H671" s="2" t="s">
        <v>4542</v>
      </c>
    </row>
    <row r="672" spans="1:11" x14ac:dyDescent="0.2">
      <c r="A672">
        <v>667</v>
      </c>
      <c r="B672" s="7">
        <f>'EstExp 12-20'!C46</f>
        <v>10000</v>
      </c>
      <c r="C672" s="3">
        <f t="shared" si="19"/>
        <v>-9333</v>
      </c>
      <c r="E672" s="2" t="b">
        <f t="shared" ca="1" si="18"/>
        <v>1</v>
      </c>
      <c r="F672" s="2" cm="1">
        <f t="array" aca="1" ref="F672" ca="1">IF(G672&lt;&gt;"",INDIRECT("'"&amp;G672&amp;"'!"&amp;H672),"")</f>
        <v>10000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10000</v>
      </c>
      <c r="C675" s="3">
        <f t="shared" si="19"/>
        <v>-9330</v>
      </c>
      <c r="E675" s="2" t="b">
        <f t="shared" ca="1" si="18"/>
        <v>1</v>
      </c>
      <c r="F675" s="2" cm="1">
        <f t="array" aca="1" ref="F675" ca="1">IF(G675&lt;&gt;"",INDIRECT("'"&amp;G675&amp;"'!"&amp;H675),"")</f>
        <v>10000</v>
      </c>
      <c r="G675" s="1582" t="s">
        <v>6961</v>
      </c>
      <c r="H675" s="2" t="s">
        <v>4546</v>
      </c>
    </row>
    <row r="676" spans="1:11" x14ac:dyDescent="0.2">
      <c r="A676">
        <v>671</v>
      </c>
      <c r="B676" s="7">
        <f>'EstExp 12-20'!C51</f>
        <v>18035</v>
      </c>
      <c r="C676" s="3">
        <f t="shared" si="19"/>
        <v>-17364</v>
      </c>
      <c r="E676" s="2" t="b">
        <f t="shared" ca="1" si="18"/>
        <v>1</v>
      </c>
      <c r="F676" s="2" cm="1">
        <f t="array" aca="1" ref="F676" ca="1">IF(G676&lt;&gt;"",INDIRECT("'"&amp;G676&amp;"'!"&amp;H676),"")</f>
        <v>18035</v>
      </c>
      <c r="G676" s="1582" t="s">
        <v>6961</v>
      </c>
      <c r="H676" s="2" t="s">
        <v>4547</v>
      </c>
    </row>
    <row r="677" spans="1:11" x14ac:dyDescent="0.2">
      <c r="A677">
        <v>672</v>
      </c>
      <c r="B677" s="7">
        <f>'EstExp 12-20'!C52</f>
        <v>292697</v>
      </c>
      <c r="C677" s="3">
        <f t="shared" si="19"/>
        <v>-292025</v>
      </c>
      <c r="E677" s="2" t="b">
        <f t="shared" ca="1" si="18"/>
        <v>1</v>
      </c>
      <c r="F677" s="2" cm="1">
        <f t="array" aca="1" ref="F677" ca="1">IF(G677&lt;&gt;"",INDIRECT("'"&amp;G677&amp;"'!"&amp;H677),"")</f>
        <v>292697</v>
      </c>
      <c r="G677" s="1582" t="s">
        <v>6961</v>
      </c>
      <c r="H677" s="2" t="s">
        <v>4548</v>
      </c>
    </row>
    <row r="678" spans="1:11" x14ac:dyDescent="0.2">
      <c r="A678">
        <v>673</v>
      </c>
      <c r="B678" s="7">
        <f>'EstExp 12-20'!C55</f>
        <v>410379</v>
      </c>
      <c r="C678" s="3">
        <f t="shared" si="19"/>
        <v>-409706</v>
      </c>
      <c r="E678" s="2" t="b">
        <f t="shared" ca="1" si="18"/>
        <v>1</v>
      </c>
      <c r="F678" s="2" cm="1">
        <f t="array" aca="1" ref="F678" ca="1">IF(G678&lt;&gt;"",INDIRECT("'"&amp;G678&amp;"'!"&amp;H678),"")</f>
        <v>410379</v>
      </c>
      <c r="G678" s="1582" t="s">
        <v>6961</v>
      </c>
      <c r="H678" s="2" t="s">
        <v>4549</v>
      </c>
    </row>
    <row r="679" spans="1:11" x14ac:dyDescent="0.2">
      <c r="A679">
        <v>674</v>
      </c>
      <c r="B679" s="7">
        <f>'EstExp 12-20'!C57</f>
        <v>369817</v>
      </c>
      <c r="C679" s="3">
        <f t="shared" si="19"/>
        <v>-369143</v>
      </c>
      <c r="E679" s="2" t="b">
        <f t="shared" ca="1" si="18"/>
        <v>1</v>
      </c>
      <c r="F679" s="2" cm="1">
        <f t="array" aca="1" ref="F679" ca="1">IF(G679&lt;&gt;"",INDIRECT("'"&amp;G679&amp;"'!"&amp;H679),"")</f>
        <v>369817</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369817</v>
      </c>
      <c r="C681" s="3">
        <f t="shared" si="19"/>
        <v>-369141</v>
      </c>
      <c r="E681" s="2" t="b">
        <f t="shared" ca="1" si="18"/>
        <v>1</v>
      </c>
      <c r="F681" s="2" cm="1">
        <f t="array" aca="1" ref="F681" ca="1">IF(G681&lt;&gt;"",INDIRECT("'"&amp;G681&amp;"'!"&amp;H681),"")</f>
        <v>369817</v>
      </c>
      <c r="G681" s="1582" t="s">
        <v>6961</v>
      </c>
      <c r="H681" s="2" t="s">
        <v>4552</v>
      </c>
    </row>
    <row r="682" spans="1:11" x14ac:dyDescent="0.2">
      <c r="A682">
        <v>677</v>
      </c>
      <c r="B682" s="7">
        <f>'EstExp 12-20'!C61</f>
        <v>139501</v>
      </c>
      <c r="C682" s="3">
        <f t="shared" si="19"/>
        <v>-138824</v>
      </c>
      <c r="E682" s="2" t="b">
        <f t="shared" ca="1" si="18"/>
        <v>1</v>
      </c>
      <c r="F682" s="2" cm="1">
        <f t="array" aca="1" ref="F682" ca="1">IF(G682&lt;&gt;"",INDIRECT("'"&amp;G682&amp;"'!"&amp;H682),"")</f>
        <v>139501</v>
      </c>
      <c r="G682" s="1582" t="s">
        <v>6961</v>
      </c>
      <c r="H682" s="2" t="s">
        <v>4553</v>
      </c>
    </row>
    <row r="683" spans="1:11" x14ac:dyDescent="0.2">
      <c r="A683">
        <v>678</v>
      </c>
      <c r="B683" s="7">
        <f>'EstExp 12-20'!C62</f>
        <v>79545</v>
      </c>
      <c r="C683" s="3">
        <f t="shared" si="19"/>
        <v>-78867</v>
      </c>
      <c r="E683" s="2" t="b">
        <f t="shared" ca="1" si="18"/>
        <v>1</v>
      </c>
      <c r="F683" s="2" cm="1">
        <f t="array" aca="1" ref="F683" ca="1">IF(G683&lt;&gt;"",INDIRECT("'"&amp;G683&amp;"'!"&amp;H683),"")</f>
        <v>79545</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64947</v>
      </c>
      <c r="C686" s="3">
        <f t="shared" si="19"/>
        <v>-64266</v>
      </c>
      <c r="E686" s="2" t="b">
        <f t="shared" ca="1" si="18"/>
        <v>1</v>
      </c>
      <c r="F686" s="2" cm="1">
        <f t="array" aca="1" ref="F686" ca="1">IF(G686&lt;&gt;"",INDIRECT("'"&amp;G686&amp;"'!"&amp;H686),"")</f>
        <v>64947</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283993</v>
      </c>
      <c r="C689" s="3">
        <f t="shared" si="19"/>
        <v>-283309</v>
      </c>
      <c r="E689" s="2" t="b">
        <f t="shared" ca="1" si="18"/>
        <v>1</v>
      </c>
      <c r="F689" s="2" cm="1">
        <f t="array" aca="1" ref="F689" ca="1">IF(G689&lt;&gt;"",INDIRECT("'"&amp;G689&amp;"'!"&amp;H689),"")</f>
        <v>283993</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120770</v>
      </c>
      <c r="C695" s="3">
        <f t="shared" si="19"/>
        <v>-120080</v>
      </c>
      <c r="E695" s="2" t="b">
        <f t="shared" ca="1" si="18"/>
        <v>1</v>
      </c>
      <c r="F695" s="2" cm="1">
        <f t="array" aca="1" ref="F695" ca="1">IF(G695&lt;&gt;"",INDIRECT("'"&amp;G695&amp;"'!"&amp;H695),"")</f>
        <v>120770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120770</v>
      </c>
      <c r="C697" s="3">
        <f t="shared" si="19"/>
        <v>-120078</v>
      </c>
      <c r="E697" s="2" t="b">
        <f t="shared" ca="1" si="18"/>
        <v>1</v>
      </c>
      <c r="F697" s="2" cm="1">
        <f t="array" aca="1" ref="F697" ca="1">IF(G697&lt;&gt;"",INDIRECT("'"&amp;G697&amp;"'!"&amp;H697),"")</f>
        <v>120770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1637247</v>
      </c>
      <c r="C699" s="3">
        <f t="shared" si="19"/>
        <v>-1636553</v>
      </c>
      <c r="E699" s="2" t="b">
        <f t="shared" ca="1" si="18"/>
        <v>1</v>
      </c>
      <c r="F699" s="2" cm="1">
        <f t="array" aca="1" ref="F699" ca="1">IF(G699&lt;&gt;"",INDIRECT("'"&amp;G699&amp;"'!"&amp;H699),"")</f>
        <v>1637247</v>
      </c>
      <c r="G699" s="1582" t="s">
        <v>6961</v>
      </c>
      <c r="H699" s="2" t="s">
        <v>4567</v>
      </c>
    </row>
    <row r="700" spans="1:11" x14ac:dyDescent="0.2">
      <c r="A700">
        <v>695</v>
      </c>
      <c r="B700" s="7">
        <f>'EstExp 12-20'!C77</f>
        <v>0</v>
      </c>
      <c r="C700" s="3">
        <f t="shared" si="19"/>
        <v>695</v>
      </c>
      <c r="E700" s="2" t="b">
        <f t="shared" ca="1" si="18"/>
        <v>1</v>
      </c>
      <c r="F700" s="2" cm="1">
        <f t="array" aca="1" ref="F700" ca="1">IF(G700&lt;&gt;"",INDIRECT("'"&amp;G700&amp;"'!"&amp;H700),"")</f>
        <v>0</v>
      </c>
      <c r="G700" s="1582" t="s">
        <v>6961</v>
      </c>
      <c r="H700" s="2" t="s">
        <v>4568</v>
      </c>
    </row>
    <row r="701" spans="1:11" x14ac:dyDescent="0.2">
      <c r="A701">
        <v>696</v>
      </c>
      <c r="B701" s="7">
        <f>'EstExp 12-20'!C116</f>
        <v>5860494</v>
      </c>
      <c r="C701" s="3">
        <f t="shared" si="19"/>
        <v>-5859798</v>
      </c>
      <c r="E701" s="2" t="b">
        <f t="shared" ca="1" si="18"/>
        <v>1</v>
      </c>
      <c r="F701" s="2" cm="1">
        <f t="array" aca="1" ref="F701" ca="1">IF(G701&lt;&gt;"",INDIRECT("'"&amp;G701&amp;"'!"&amp;H701),"")</f>
        <v>5860494</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558626</v>
      </c>
      <c r="C707" s="3">
        <f t="shared" si="19"/>
        <v>-557924</v>
      </c>
      <c r="E707" s="2" t="b">
        <f t="shared" ca="1" si="20"/>
        <v>1</v>
      </c>
      <c r="F707" s="2" cm="1">
        <f t="array" aca="1" ref="F707" ca="1">IF(G707&lt;&gt;"",INDIRECT("'"&amp;G707&amp;"'!"&amp;H707),"")</f>
        <v>558626</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23234</v>
      </c>
      <c r="C714" s="3">
        <f t="shared" ref="C714:C772" si="21">A714-B714</f>
        <v>-22525</v>
      </c>
      <c r="E714" s="2" t="b">
        <f t="shared" ca="1" si="20"/>
        <v>1</v>
      </c>
      <c r="F714" s="2" cm="1">
        <f t="array" aca="1" ref="F714" ca="1">IF(G714&lt;&gt;"",INDIRECT("'"&amp;G714&amp;"'!"&amp;H714),"")</f>
        <v>23234</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0</v>
      </c>
      <c r="C719" s="3">
        <f t="shared" si="21"/>
        <v>714</v>
      </c>
      <c r="E719" s="2" t="b">
        <f t="shared" ca="1" si="20"/>
        <v>1</v>
      </c>
      <c r="F719" s="2" cm="1">
        <f t="array" aca="1" ref="F719" ca="1">IF(G719&lt;&gt;"",INDIRECT("'"&amp;G719&amp;"'!"&amp;H719),"")</f>
        <v>0</v>
      </c>
      <c r="G719" s="1582" t="s">
        <v>6961</v>
      </c>
      <c r="H719" s="2" t="s">
        <v>4437</v>
      </c>
    </row>
    <row r="720" spans="1:11" x14ac:dyDescent="0.2">
      <c r="A720">
        <v>715</v>
      </c>
      <c r="B720" s="7">
        <f>'EstExp 12-20'!D14</f>
        <v>670</v>
      </c>
      <c r="C720" s="3">
        <f t="shared" si="21"/>
        <v>45</v>
      </c>
      <c r="E720" s="2" t="b">
        <f t="shared" ca="1" si="20"/>
        <v>1</v>
      </c>
      <c r="F720" s="2" cm="1">
        <f t="array" aca="1" ref="F720" ca="1">IF(G720&lt;&gt;"",INDIRECT("'"&amp;G720&amp;"'!"&amp;H720),"")</f>
        <v>670</v>
      </c>
      <c r="G720" s="1582" t="s">
        <v>6961</v>
      </c>
      <c r="H720" s="2" t="s">
        <v>4571</v>
      </c>
    </row>
    <row r="721" spans="1:8" x14ac:dyDescent="0.2">
      <c r="A721">
        <v>716</v>
      </c>
      <c r="B721" s="7">
        <f>'EstExp 12-20'!D15</f>
        <v>0</v>
      </c>
      <c r="C721" s="3">
        <f t="shared" si="21"/>
        <v>716</v>
      </c>
      <c r="E721" s="2" t="b">
        <f t="shared" ca="1" si="20"/>
        <v>1</v>
      </c>
      <c r="F721" s="2" cm="1">
        <f t="array" aca="1" ref="F721" ca="1">IF(G721&lt;&gt;"",INDIRECT("'"&amp;G721&amp;"'!"&amp;H721),"")</f>
        <v>0</v>
      </c>
      <c r="G721" s="1582" t="s">
        <v>6961</v>
      </c>
      <c r="H721" s="2" t="s">
        <v>4438</v>
      </c>
    </row>
    <row r="722" spans="1:8" x14ac:dyDescent="0.2">
      <c r="A722">
        <v>717</v>
      </c>
      <c r="B722" s="7">
        <f>'EstExp 12-20'!D34</f>
        <v>728902</v>
      </c>
      <c r="C722" s="3">
        <f t="shared" si="21"/>
        <v>-728185</v>
      </c>
      <c r="E722" s="2" t="b">
        <f t="shared" ca="1" si="20"/>
        <v>1</v>
      </c>
      <c r="F722" s="2" cm="1">
        <f t="array" aca="1" ref="F722" ca="1">IF(G722&lt;&gt;"",INDIRECT("'"&amp;G722&amp;"'!"&amp;H722),"")</f>
        <v>728902</v>
      </c>
      <c r="G722" s="1582" t="s">
        <v>6961</v>
      </c>
      <c r="H722" s="2" t="s">
        <v>4572</v>
      </c>
    </row>
    <row r="723" spans="1:8" x14ac:dyDescent="0.2">
      <c r="A723">
        <v>718</v>
      </c>
      <c r="B723" s="7">
        <f>'EstExp 12-20'!D38</f>
        <v>25495</v>
      </c>
      <c r="C723" s="3">
        <f t="shared" si="21"/>
        <v>-24777</v>
      </c>
      <c r="E723" s="2" t="b">
        <f t="shared" ca="1" si="20"/>
        <v>1</v>
      </c>
      <c r="F723" s="2" cm="1">
        <f t="array" aca="1" ref="F723" ca="1">IF(G723&lt;&gt;"",INDIRECT("'"&amp;G723&amp;"'!"&amp;H723),"")</f>
        <v>25495</v>
      </c>
      <c r="G723" s="1582" t="s">
        <v>6961</v>
      </c>
      <c r="H723" s="2" t="s">
        <v>4573</v>
      </c>
    </row>
    <row r="724" spans="1:8" x14ac:dyDescent="0.2">
      <c r="A724">
        <v>719</v>
      </c>
      <c r="B724" s="7">
        <f>'EstExp 12-20'!D39</f>
        <v>0</v>
      </c>
      <c r="C724" s="3">
        <f t="shared" si="21"/>
        <v>719</v>
      </c>
      <c r="E724" s="2" t="b">
        <f t="shared" ca="1" si="20"/>
        <v>1</v>
      </c>
      <c r="F724" s="2" cm="1">
        <f t="array" aca="1" ref="F724" ca="1">IF(G724&lt;&gt;"",INDIRECT("'"&amp;G724&amp;"'!"&amp;H724),"")</f>
        <v>0</v>
      </c>
      <c r="G724" s="1582" t="s">
        <v>6961</v>
      </c>
      <c r="H724" s="2" t="s">
        <v>4574</v>
      </c>
    </row>
    <row r="725" spans="1:8" x14ac:dyDescent="0.2">
      <c r="A725">
        <v>720</v>
      </c>
      <c r="B725" s="7">
        <f>'EstExp 12-20'!D40</f>
        <v>20501</v>
      </c>
      <c r="C725" s="3">
        <f t="shared" si="21"/>
        <v>-19781</v>
      </c>
      <c r="E725" s="2" t="b">
        <f t="shared" ca="1" si="20"/>
        <v>1</v>
      </c>
      <c r="F725" s="2" cm="1">
        <f t="array" aca="1" ref="F725" ca="1">IF(G725&lt;&gt;"",INDIRECT("'"&amp;G725&amp;"'!"&amp;H725),"")</f>
        <v>20501</v>
      </c>
      <c r="G725" s="1582" t="s">
        <v>6961</v>
      </c>
      <c r="H725" s="2" t="s">
        <v>4575</v>
      </c>
    </row>
    <row r="726" spans="1:8" x14ac:dyDescent="0.2">
      <c r="A726">
        <v>721</v>
      </c>
      <c r="B726" s="7">
        <f>'EstExp 12-20'!D41</f>
        <v>14803</v>
      </c>
      <c r="C726" s="3">
        <f t="shared" si="21"/>
        <v>-14082</v>
      </c>
      <c r="E726" s="2" t="b">
        <f t="shared" ca="1" si="20"/>
        <v>1</v>
      </c>
      <c r="F726" s="2" cm="1">
        <f t="array" aca="1" ref="F726" ca="1">IF(G726&lt;&gt;"",INDIRECT("'"&amp;G726&amp;"'!"&amp;H726),"")</f>
        <v>14803</v>
      </c>
      <c r="G726" s="1582" t="s">
        <v>6961</v>
      </c>
      <c r="H726" s="2" t="s">
        <v>4576</v>
      </c>
    </row>
    <row r="727" spans="1:8" x14ac:dyDescent="0.2">
      <c r="A727">
        <v>722</v>
      </c>
      <c r="B727" s="7">
        <f>'EstExp 12-20'!D42</f>
        <v>11865</v>
      </c>
      <c r="C727" s="3">
        <f t="shared" si="21"/>
        <v>-11143</v>
      </c>
      <c r="E727" s="2" t="b">
        <f t="shared" ca="1" si="20"/>
        <v>1</v>
      </c>
      <c r="F727" s="2" cm="1">
        <f t="array" aca="1" ref="F727" ca="1">IF(G727&lt;&gt;"",INDIRECT("'"&amp;G727&amp;"'!"&amp;H727),"")</f>
        <v>11865</v>
      </c>
      <c r="G727" s="1582" t="s">
        <v>6961</v>
      </c>
      <c r="H727" s="2" t="s">
        <v>4577</v>
      </c>
    </row>
    <row r="728" spans="1:8" x14ac:dyDescent="0.2">
      <c r="A728">
        <v>723</v>
      </c>
      <c r="B728" s="7">
        <f>'EstExp 12-20'!D43</f>
        <v>137</v>
      </c>
      <c r="C728" s="3">
        <f t="shared" si="21"/>
        <v>586</v>
      </c>
      <c r="E728" s="2" t="b">
        <f t="shared" ca="1" si="20"/>
        <v>1</v>
      </c>
      <c r="F728" s="2" cm="1">
        <f t="array" aca="1" ref="F728" ca="1">IF(G728&lt;&gt;"",INDIRECT("'"&amp;G728&amp;"'!"&amp;H728),"")</f>
        <v>137</v>
      </c>
      <c r="G728" s="1582" t="s">
        <v>6961</v>
      </c>
      <c r="H728" s="2" t="s">
        <v>4578</v>
      </c>
    </row>
    <row r="729" spans="1:8" x14ac:dyDescent="0.2">
      <c r="A729">
        <v>724</v>
      </c>
      <c r="B729" s="7">
        <f>'EstExp 12-20'!D44</f>
        <v>72801</v>
      </c>
      <c r="C729" s="3">
        <f t="shared" si="21"/>
        <v>-72077</v>
      </c>
      <c r="E729" s="2" t="b">
        <f t="shared" ca="1" si="20"/>
        <v>1</v>
      </c>
      <c r="F729" s="2" cm="1">
        <f t="array" aca="1" ref="F729" ca="1">IF(G729&lt;&gt;"",INDIRECT("'"&amp;G729&amp;"'!"&amp;H729),"")</f>
        <v>72801</v>
      </c>
      <c r="G729" s="1582" t="s">
        <v>6961</v>
      </c>
      <c r="H729" s="2" t="s">
        <v>4579</v>
      </c>
    </row>
    <row r="730" spans="1:8" x14ac:dyDescent="0.2">
      <c r="A730">
        <v>725</v>
      </c>
      <c r="B730" s="7">
        <f>'EstExp 12-20'!D46</f>
        <v>0</v>
      </c>
      <c r="C730" s="3">
        <f t="shared" si="21"/>
        <v>725</v>
      </c>
      <c r="E730" s="2" t="b">
        <f t="shared" ca="1" si="20"/>
        <v>1</v>
      </c>
      <c r="F730" s="2" cm="1">
        <f t="array" aca="1" ref="F730" ca="1">IF(G730&lt;&gt;"",INDIRECT("'"&amp;G730&amp;"'!"&amp;H730),"")</f>
        <v>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0</v>
      </c>
      <c r="C733" s="3">
        <f t="shared" si="21"/>
        <v>728</v>
      </c>
      <c r="E733" s="2" t="b">
        <f t="shared" ca="1" si="20"/>
        <v>1</v>
      </c>
      <c r="F733" s="2" cm="1">
        <f t="array" aca="1" ref="F733" ca="1">IF(G733&lt;&gt;"",INDIRECT("'"&amp;G733&amp;"'!"&amp;H733),"")</f>
        <v>0</v>
      </c>
      <c r="G733" s="1582" t="s">
        <v>6961</v>
      </c>
      <c r="H733" s="2" t="s">
        <v>4583</v>
      </c>
    </row>
    <row r="734" spans="1:8" x14ac:dyDescent="0.2">
      <c r="A734">
        <v>729</v>
      </c>
      <c r="B734" s="7">
        <f>'EstExp 12-20'!D51</f>
        <v>22000</v>
      </c>
      <c r="C734" s="3">
        <f t="shared" si="21"/>
        <v>-21271</v>
      </c>
      <c r="E734" s="2" t="b">
        <f t="shared" ca="1" si="20"/>
        <v>1</v>
      </c>
      <c r="F734" s="2" cm="1">
        <f t="array" aca="1" ref="F734" ca="1">IF(G734&lt;&gt;"",INDIRECT("'"&amp;G734&amp;"'!"&amp;H734),"")</f>
        <v>22000</v>
      </c>
      <c r="G734" s="1582" t="s">
        <v>6961</v>
      </c>
      <c r="H734" s="2" t="s">
        <v>4584</v>
      </c>
    </row>
    <row r="735" spans="1:8" x14ac:dyDescent="0.2">
      <c r="A735">
        <v>730</v>
      </c>
      <c r="B735" s="7">
        <f>'EstExp 12-20'!D52</f>
        <v>86154</v>
      </c>
      <c r="C735" s="3">
        <f t="shared" si="21"/>
        <v>-85424</v>
      </c>
      <c r="E735" s="2" t="b">
        <f t="shared" ca="1" si="20"/>
        <v>1</v>
      </c>
      <c r="F735" s="2" cm="1">
        <f t="array" aca="1" ref="F735" ca="1">IF(G735&lt;&gt;"",INDIRECT("'"&amp;G735&amp;"'!"&amp;H735),"")</f>
        <v>86154</v>
      </c>
      <c r="G735" s="1582" t="s">
        <v>6961</v>
      </c>
      <c r="H735" s="2" t="s">
        <v>4585</v>
      </c>
    </row>
    <row r="736" spans="1:8" x14ac:dyDescent="0.2">
      <c r="A736">
        <v>731</v>
      </c>
      <c r="B736" s="7">
        <f>'EstExp 12-20'!D55</f>
        <v>117495</v>
      </c>
      <c r="C736" s="3">
        <f t="shared" si="21"/>
        <v>-116764</v>
      </c>
      <c r="E736" s="2" t="b">
        <f t="shared" ca="1" si="20"/>
        <v>1</v>
      </c>
      <c r="F736" s="2" cm="1">
        <f t="array" aca="1" ref="F736" ca="1">IF(G736&lt;&gt;"",INDIRECT("'"&amp;G736&amp;"'!"&amp;H736),"")</f>
        <v>117495</v>
      </c>
      <c r="G736" s="1582" t="s">
        <v>6961</v>
      </c>
      <c r="H736" s="2" t="s">
        <v>4586</v>
      </c>
    </row>
    <row r="737" spans="1:11" x14ac:dyDescent="0.2">
      <c r="A737">
        <v>732</v>
      </c>
      <c r="B737" s="7">
        <f>'EstExp 12-20'!D57</f>
        <v>99281</v>
      </c>
      <c r="C737" s="3">
        <f t="shared" si="21"/>
        <v>-98549</v>
      </c>
      <c r="E737" s="2" t="b">
        <f t="shared" ca="1" si="20"/>
        <v>1</v>
      </c>
      <c r="F737" s="2" cm="1">
        <f t="array" aca="1" ref="F737" ca="1">IF(G737&lt;&gt;"",INDIRECT("'"&amp;G737&amp;"'!"&amp;H737),"")</f>
        <v>99281</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99281</v>
      </c>
      <c r="C739" s="3">
        <f t="shared" si="21"/>
        <v>-98547</v>
      </c>
      <c r="E739" s="2" t="b">
        <f t="shared" ca="1" si="20"/>
        <v>1</v>
      </c>
      <c r="F739" s="2" cm="1">
        <f t="array" aca="1" ref="F739" ca="1">IF(G739&lt;&gt;"",INDIRECT("'"&amp;G739&amp;"'!"&amp;H739),"")</f>
        <v>99281</v>
      </c>
      <c r="G739" s="1582" t="s">
        <v>6961</v>
      </c>
      <c r="H739" s="2" t="s">
        <v>4589</v>
      </c>
    </row>
    <row r="740" spans="1:11" x14ac:dyDescent="0.2">
      <c r="A740">
        <v>735</v>
      </c>
      <c r="B740" s="7">
        <f>'EstExp 12-20'!D61</f>
        <v>37179</v>
      </c>
      <c r="C740" s="3">
        <f t="shared" si="21"/>
        <v>-36444</v>
      </c>
      <c r="E740" s="2" t="b">
        <f t="shared" ca="1" si="20"/>
        <v>1</v>
      </c>
      <c r="F740" s="2" cm="1">
        <f t="array" aca="1" ref="F740" ca="1">IF(G740&lt;&gt;"",INDIRECT("'"&amp;G740&amp;"'!"&amp;H740),"")</f>
        <v>37179</v>
      </c>
      <c r="G740" s="1582" t="s">
        <v>6961</v>
      </c>
      <c r="H740" s="2" t="s">
        <v>4590</v>
      </c>
    </row>
    <row r="741" spans="1:11" x14ac:dyDescent="0.2">
      <c r="A741">
        <v>736</v>
      </c>
      <c r="B741" s="7">
        <f>'EstExp 12-20'!D62</f>
        <v>35453</v>
      </c>
      <c r="C741" s="3">
        <f t="shared" si="21"/>
        <v>-34717</v>
      </c>
      <c r="E741" s="2" t="b">
        <f t="shared" ca="1" si="20"/>
        <v>1</v>
      </c>
      <c r="F741" s="2" cm="1">
        <f t="array" aca="1" ref="F741" ca="1">IF(G741&lt;&gt;"",INDIRECT("'"&amp;G741&amp;"'!"&amp;H741),"")</f>
        <v>35453</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103</v>
      </c>
      <c r="C744" s="3">
        <f t="shared" si="21"/>
        <v>636</v>
      </c>
      <c r="E744" s="2" t="b">
        <f t="shared" ca="1" si="20"/>
        <v>1</v>
      </c>
      <c r="F744" s="2" cm="1">
        <f t="array" aca="1" ref="F744" ca="1">IF(G744&lt;&gt;"",INDIRECT("'"&amp;G744&amp;"'!"&amp;H744),"")</f>
        <v>103</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72735</v>
      </c>
      <c r="C747" s="3">
        <f t="shared" si="21"/>
        <v>-71993</v>
      </c>
      <c r="E747" s="2" t="b">
        <f t="shared" ca="1" si="20"/>
        <v>1</v>
      </c>
      <c r="F747" s="2" cm="1">
        <f t="array" aca="1" ref="F747" ca="1">IF(G747&lt;&gt;"",INDIRECT("'"&amp;G747&amp;"'!"&amp;H747),"")</f>
        <v>72735</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25876</v>
      </c>
      <c r="C753" s="3">
        <f t="shared" si="21"/>
        <v>-25128</v>
      </c>
      <c r="E753" s="2" t="b">
        <f t="shared" ca="1" si="20"/>
        <v>1</v>
      </c>
      <c r="F753" s="2" cm="1">
        <f t="array" aca="1" ref="F753" ca="1">IF(G753&lt;&gt;"",INDIRECT("'"&amp;G753&amp;"'!"&amp;H753),"")</f>
        <v>25876</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25876</v>
      </c>
      <c r="C755" s="3">
        <f t="shared" si="21"/>
        <v>-25126</v>
      </c>
      <c r="E755" s="2" t="b">
        <f t="shared" ca="1" si="20"/>
        <v>1</v>
      </c>
      <c r="F755" s="2" cm="1">
        <f t="array" aca="1" ref="F755" ca="1">IF(G755&lt;&gt;"",INDIRECT("'"&amp;G755&amp;"'!"&amp;H755),"")</f>
        <v>25876</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388188</v>
      </c>
      <c r="C757" s="3">
        <f t="shared" si="21"/>
        <v>-387436</v>
      </c>
      <c r="E757" s="2" t="b">
        <f t="shared" ca="1" si="20"/>
        <v>1</v>
      </c>
      <c r="F757" s="2" cm="1">
        <f t="array" aca="1" ref="F757" ca="1">IF(G757&lt;&gt;"",INDIRECT("'"&amp;G757&amp;"'!"&amp;H757),"")</f>
        <v>388188</v>
      </c>
      <c r="G757" s="1582" t="s">
        <v>6961</v>
      </c>
      <c r="H757" s="2" t="s">
        <v>4604</v>
      </c>
    </row>
    <row r="758" spans="1:11" x14ac:dyDescent="0.2">
      <c r="A758">
        <v>753</v>
      </c>
      <c r="B758" s="7">
        <f>'EstExp 12-20'!D77</f>
        <v>0</v>
      </c>
      <c r="C758" s="3">
        <f t="shared" si="21"/>
        <v>753</v>
      </c>
      <c r="E758" s="2" t="b">
        <f t="shared" ca="1" si="20"/>
        <v>1</v>
      </c>
      <c r="F758" s="2" cm="1">
        <f t="array" aca="1" ref="F758" ca="1">IF(G758&lt;&gt;"",INDIRECT("'"&amp;G758&amp;"'!"&amp;H758),"")</f>
        <v>0</v>
      </c>
      <c r="G758" s="1582" t="s">
        <v>6961</v>
      </c>
      <c r="H758" s="2" t="s">
        <v>4605</v>
      </c>
    </row>
    <row r="759" spans="1:11" x14ac:dyDescent="0.2">
      <c r="A759">
        <v>754</v>
      </c>
      <c r="B759" s="7">
        <f>'EstExp 12-20'!D116</f>
        <v>1117090</v>
      </c>
      <c r="C759" s="3">
        <f t="shared" si="21"/>
        <v>-1116336</v>
      </c>
      <c r="E759" s="2" t="b">
        <f t="shared" ca="1" si="20"/>
        <v>1</v>
      </c>
      <c r="F759" s="2" cm="1">
        <f t="array" aca="1" ref="F759" ca="1">IF(G759&lt;&gt;"",INDIRECT("'"&amp;G759&amp;"'!"&amp;H759),"")</f>
        <v>1117090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17800</v>
      </c>
      <c r="C765" s="3">
        <f t="shared" si="21"/>
        <v>-17040</v>
      </c>
      <c r="E765" s="2" t="b">
        <f t="shared" ca="1" si="20"/>
        <v>1</v>
      </c>
      <c r="F765" s="2" cm="1">
        <f t="array" aca="1" ref="F765" ca="1">IF(G765&lt;&gt;"",INDIRECT("'"&amp;G765&amp;"'!"&amp;H765),"")</f>
        <v>17800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1000</v>
      </c>
      <c r="C772" s="3">
        <f t="shared" si="21"/>
        <v>-233</v>
      </c>
      <c r="E772" s="2" t="b">
        <f t="shared" ca="1" si="22"/>
        <v>1</v>
      </c>
      <c r="F772" s="2" cm="1">
        <f t="array" aca="1" ref="F772" ca="1">IF(G772&lt;&gt;"",INDIRECT("'"&amp;G772&amp;"'!"&amp;H772),"")</f>
        <v>1000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0</v>
      </c>
      <c r="C777" s="3">
        <f t="shared" si="23"/>
        <v>772</v>
      </c>
      <c r="E777" s="2" t="b">
        <f t="shared" ca="1" si="22"/>
        <v>1</v>
      </c>
      <c r="F777" s="2" cm="1">
        <f t="array" aca="1" ref="F777" ca="1">IF(G777&lt;&gt;"",INDIRECT("'"&amp;G777&amp;"'!"&amp;H777),"")</f>
        <v>0</v>
      </c>
      <c r="G777" s="1582" t="s">
        <v>6961</v>
      </c>
      <c r="H777" s="2" t="s">
        <v>4448</v>
      </c>
    </row>
    <row r="778" spans="1:11" x14ac:dyDescent="0.2">
      <c r="A778">
        <v>773</v>
      </c>
      <c r="B778" s="7">
        <f>'EstExp 12-20'!E14</f>
        <v>9000</v>
      </c>
      <c r="C778" s="3">
        <f t="shared" si="23"/>
        <v>-8227</v>
      </c>
      <c r="E778" s="2" t="b">
        <f t="shared" ca="1" si="22"/>
        <v>1</v>
      </c>
      <c r="F778" s="2" cm="1">
        <f t="array" aca="1" ref="F778" ca="1">IF(G778&lt;&gt;"",INDIRECT("'"&amp;G778&amp;"'!"&amp;H778),"")</f>
        <v>9000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33560</v>
      </c>
      <c r="C780" s="3">
        <f t="shared" si="23"/>
        <v>-32785</v>
      </c>
      <c r="E780" s="2" t="b">
        <f t="shared" ca="1" si="22"/>
        <v>1</v>
      </c>
      <c r="F780" s="2" cm="1">
        <f t="array" aca="1" ref="F780" ca="1">IF(G780&lt;&gt;"",INDIRECT("'"&amp;G780&amp;"'!"&amp;H780),"")</f>
        <v>33560</v>
      </c>
      <c r="G780" s="1582" t="s">
        <v>6961</v>
      </c>
      <c r="H780" s="2" t="s">
        <v>4610</v>
      </c>
    </row>
    <row r="781" spans="1:11" x14ac:dyDescent="0.2">
      <c r="A781">
        <v>776</v>
      </c>
      <c r="B781" s="7">
        <f>'EstExp 12-20'!E38</f>
        <v>0</v>
      </c>
      <c r="C781" s="3">
        <f t="shared" si="23"/>
        <v>776</v>
      </c>
      <c r="E781" s="2" t="b">
        <f t="shared" ca="1" si="22"/>
        <v>1</v>
      </c>
      <c r="F781" s="2" cm="1">
        <f t="array" aca="1" ref="F781" ca="1">IF(G781&lt;&gt;"",INDIRECT("'"&amp;G781&amp;"'!"&amp;H781),"")</f>
        <v>0</v>
      </c>
      <c r="G781" s="1582" t="s">
        <v>6961</v>
      </c>
      <c r="H781" s="2" t="s">
        <v>4611</v>
      </c>
    </row>
    <row r="782" spans="1:11" x14ac:dyDescent="0.2">
      <c r="A782">
        <v>777</v>
      </c>
      <c r="B782" s="7">
        <f>'EstExp 12-20'!E39</f>
        <v>0</v>
      </c>
      <c r="C782" s="3">
        <f t="shared" si="23"/>
        <v>777</v>
      </c>
      <c r="E782" s="2" t="b">
        <f t="shared" ca="1" si="22"/>
        <v>1</v>
      </c>
      <c r="F782" s="2" cm="1">
        <f t="array" aca="1" ref="F782" ca="1">IF(G782&lt;&gt;"",INDIRECT("'"&amp;G782&amp;"'!"&amp;H782),"")</f>
        <v>0</v>
      </c>
      <c r="G782" s="1582" t="s">
        <v>6961</v>
      </c>
      <c r="H782" s="2" t="s">
        <v>4612</v>
      </c>
    </row>
    <row r="783" spans="1:11" x14ac:dyDescent="0.2">
      <c r="A783">
        <v>778</v>
      </c>
      <c r="B783" s="7">
        <f>'EstExp 12-20'!E40</f>
        <v>123352</v>
      </c>
      <c r="C783" s="3">
        <f t="shared" si="23"/>
        <v>-122574</v>
      </c>
      <c r="E783" s="2" t="b">
        <f t="shared" ca="1" si="22"/>
        <v>1</v>
      </c>
      <c r="F783" s="2" cm="1">
        <f t="array" aca="1" ref="F783" ca="1">IF(G783&lt;&gt;"",INDIRECT("'"&amp;G783&amp;"'!"&amp;H783),"")</f>
        <v>123352</v>
      </c>
      <c r="G783" s="1582" t="s">
        <v>6961</v>
      </c>
      <c r="H783" s="2" t="s">
        <v>4613</v>
      </c>
    </row>
    <row r="784" spans="1:11" x14ac:dyDescent="0.2">
      <c r="A784">
        <v>779</v>
      </c>
      <c r="B784" s="7">
        <f>'EstExp 12-20'!E41</f>
        <v>500</v>
      </c>
      <c r="C784" s="3">
        <f t="shared" si="23"/>
        <v>279</v>
      </c>
      <c r="E784" s="2" t="b">
        <f t="shared" ca="1" si="22"/>
        <v>1</v>
      </c>
      <c r="F784" s="2" cm="1">
        <f t="array" aca="1" ref="F784" ca="1">IF(G784&lt;&gt;"",INDIRECT("'"&amp;G784&amp;"'!"&amp;H784),"")</f>
        <v>500</v>
      </c>
      <c r="G784" s="1582" t="s">
        <v>6961</v>
      </c>
      <c r="H784" s="2" t="s">
        <v>4614</v>
      </c>
    </row>
    <row r="785" spans="1:8" x14ac:dyDescent="0.2">
      <c r="A785">
        <v>780</v>
      </c>
      <c r="B785" s="7">
        <f>'EstExp 12-20'!E42</f>
        <v>75100</v>
      </c>
      <c r="C785" s="3">
        <f t="shared" si="23"/>
        <v>-74320</v>
      </c>
      <c r="E785" s="2" t="b">
        <f t="shared" ca="1" si="22"/>
        <v>1</v>
      </c>
      <c r="F785" s="2" cm="1">
        <f t="array" aca="1" ref="F785" ca="1">IF(G785&lt;&gt;"",INDIRECT("'"&amp;G785&amp;"'!"&amp;H785),"")</f>
        <v>75100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198952</v>
      </c>
      <c r="C787" s="3">
        <f t="shared" si="23"/>
        <v>-198170</v>
      </c>
      <c r="E787" s="2" t="b">
        <f t="shared" ca="1" si="22"/>
        <v>1</v>
      </c>
      <c r="F787" s="2" cm="1">
        <f t="array" aca="1" ref="F787" ca="1">IF(G787&lt;&gt;"",INDIRECT("'"&amp;G787&amp;"'!"&amp;H787),"")</f>
        <v>198952</v>
      </c>
      <c r="G787" s="1582" t="s">
        <v>6961</v>
      </c>
      <c r="H787" s="2" t="s">
        <v>4617</v>
      </c>
    </row>
    <row r="788" spans="1:8" x14ac:dyDescent="0.2">
      <c r="A788">
        <v>783</v>
      </c>
      <c r="B788" s="7">
        <f>'EstExp 12-20'!E46</f>
        <v>71154</v>
      </c>
      <c r="C788" s="3">
        <f t="shared" si="23"/>
        <v>-70371</v>
      </c>
      <c r="E788" s="2" t="b">
        <f t="shared" ca="1" si="22"/>
        <v>1</v>
      </c>
      <c r="F788" s="2" cm="1">
        <f t="array" aca="1" ref="F788" ca="1">IF(G788&lt;&gt;"",INDIRECT("'"&amp;G788&amp;"'!"&amp;H788),"")</f>
        <v>71154</v>
      </c>
      <c r="G788" s="1582" t="s">
        <v>6961</v>
      </c>
      <c r="H788" s="2" t="s">
        <v>4618</v>
      </c>
    </row>
    <row r="789" spans="1:8" x14ac:dyDescent="0.2">
      <c r="A789">
        <v>784</v>
      </c>
      <c r="B789" s="7">
        <f>'EstExp 12-20'!E47</f>
        <v>6500</v>
      </c>
      <c r="C789" s="3">
        <f t="shared" si="23"/>
        <v>-5716</v>
      </c>
      <c r="E789" s="2" t="b">
        <f t="shared" ca="1" si="22"/>
        <v>1</v>
      </c>
      <c r="F789" s="2" cm="1">
        <f t="array" aca="1" ref="F789" ca="1">IF(G789&lt;&gt;"",INDIRECT("'"&amp;G789&amp;"'!"&amp;H789),"")</f>
        <v>6500</v>
      </c>
      <c r="G789" s="1582" t="s">
        <v>6961</v>
      </c>
      <c r="H789" s="2" t="s">
        <v>4619</v>
      </c>
    </row>
    <row r="790" spans="1:8" x14ac:dyDescent="0.2">
      <c r="A790">
        <v>785</v>
      </c>
      <c r="B790" s="7">
        <f>'EstExp 12-20'!E48</f>
        <v>62238</v>
      </c>
      <c r="C790" s="3">
        <f t="shared" si="23"/>
        <v>-61453</v>
      </c>
      <c r="E790" s="2" t="b">
        <f t="shared" ca="1" si="22"/>
        <v>1</v>
      </c>
      <c r="F790" s="2" cm="1">
        <f t="array" aca="1" ref="F790" ca="1">IF(G790&lt;&gt;"",INDIRECT("'"&amp;G790&amp;"'!"&amp;H790),"")</f>
        <v>62238</v>
      </c>
      <c r="G790" s="1582" t="s">
        <v>6961</v>
      </c>
      <c r="H790" s="2" t="s">
        <v>4620</v>
      </c>
    </row>
    <row r="791" spans="1:8" x14ac:dyDescent="0.2">
      <c r="A791">
        <v>786</v>
      </c>
      <c r="B791" s="7">
        <f>'EstExp 12-20'!E49</f>
        <v>139892</v>
      </c>
      <c r="C791" s="3">
        <f t="shared" si="23"/>
        <v>-139106</v>
      </c>
      <c r="E791" s="2" t="b">
        <f t="shared" ca="1" si="22"/>
        <v>1</v>
      </c>
      <c r="F791" s="2" cm="1">
        <f t="array" aca="1" ref="F791" ca="1">IF(G791&lt;&gt;"",INDIRECT("'"&amp;G791&amp;"'!"&amp;H791),"")</f>
        <v>139892</v>
      </c>
      <c r="G791" s="1582" t="s">
        <v>6961</v>
      </c>
      <c r="H791" s="2" t="s">
        <v>4621</v>
      </c>
    </row>
    <row r="792" spans="1:8" x14ac:dyDescent="0.2">
      <c r="A792">
        <v>787</v>
      </c>
      <c r="B792" s="7">
        <f>'EstExp 12-20'!E51</f>
        <v>187275</v>
      </c>
      <c r="C792" s="3">
        <f t="shared" si="23"/>
        <v>-186488</v>
      </c>
      <c r="E792" s="2" t="b">
        <f t="shared" ca="1" si="22"/>
        <v>1</v>
      </c>
      <c r="F792" s="2" cm="1">
        <f t="array" aca="1" ref="F792" ca="1">IF(G792&lt;&gt;"",INDIRECT("'"&amp;G792&amp;"'!"&amp;H792),"")</f>
        <v>187275</v>
      </c>
      <c r="G792" s="1582" t="s">
        <v>6961</v>
      </c>
      <c r="H792" s="2" t="s">
        <v>4622</v>
      </c>
    </row>
    <row r="793" spans="1:8" x14ac:dyDescent="0.2">
      <c r="A793">
        <v>788</v>
      </c>
      <c r="B793" s="7">
        <f>'EstExp 12-20'!E52</f>
        <v>14800</v>
      </c>
      <c r="C793" s="3">
        <f t="shared" si="23"/>
        <v>-14012</v>
      </c>
      <c r="E793" s="2" t="b">
        <f t="shared" ca="1" si="22"/>
        <v>1</v>
      </c>
      <c r="F793" s="2" cm="1">
        <f t="array" aca="1" ref="F793" ca="1">IF(G793&lt;&gt;"",INDIRECT("'"&amp;G793&amp;"'!"&amp;H793),"")</f>
        <v>14800</v>
      </c>
      <c r="G793" s="1582" t="s">
        <v>6961</v>
      </c>
      <c r="H793" s="2" t="s">
        <v>4623</v>
      </c>
    </row>
    <row r="794" spans="1:8" x14ac:dyDescent="0.2">
      <c r="A794">
        <v>789</v>
      </c>
      <c r="B794" s="7">
        <f>'EstExp 12-20'!E55</f>
        <v>211575</v>
      </c>
      <c r="C794" s="3">
        <f t="shared" si="23"/>
        <v>-210786</v>
      </c>
      <c r="E794" s="2" t="b">
        <f t="shared" ca="1" si="22"/>
        <v>1</v>
      </c>
      <c r="F794" s="2" cm="1">
        <f t="array" aca="1" ref="F794" ca="1">IF(G794&lt;&gt;"",INDIRECT("'"&amp;G794&amp;"'!"&amp;H794),"")</f>
        <v>211575</v>
      </c>
      <c r="G794" s="1582" t="s">
        <v>6961</v>
      </c>
      <c r="H794" s="2" t="s">
        <v>4624</v>
      </c>
    </row>
    <row r="795" spans="1:8" x14ac:dyDescent="0.2">
      <c r="A795">
        <v>790</v>
      </c>
      <c r="B795" s="7">
        <f>'EstExp 12-20'!E57</f>
        <v>12500</v>
      </c>
      <c r="C795" s="3">
        <f t="shared" si="23"/>
        <v>-11710</v>
      </c>
      <c r="E795" s="2" t="b">
        <f t="shared" ca="1" si="22"/>
        <v>1</v>
      </c>
      <c r="F795" s="2" cm="1">
        <f t="array" aca="1" ref="F795" ca="1">IF(G795&lt;&gt;"",INDIRECT("'"&amp;G795&amp;"'!"&amp;H795),"")</f>
        <v>12500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12500</v>
      </c>
      <c r="C797" s="3">
        <f t="shared" si="23"/>
        <v>-11708</v>
      </c>
      <c r="E797" s="2" t="b">
        <f t="shared" ca="1" si="22"/>
        <v>1</v>
      </c>
      <c r="F797" s="2" cm="1">
        <f t="array" aca="1" ref="F797" ca="1">IF(G797&lt;&gt;"",INDIRECT("'"&amp;G797&amp;"'!"&amp;H797),"")</f>
        <v>12500</v>
      </c>
      <c r="G797" s="1582" t="s">
        <v>6961</v>
      </c>
      <c r="H797" s="2" t="s">
        <v>4627</v>
      </c>
    </row>
    <row r="798" spans="1:8" x14ac:dyDescent="0.2">
      <c r="A798">
        <v>793</v>
      </c>
      <c r="B798" s="7">
        <f>'EstExp 12-20'!E61</f>
        <v>2500</v>
      </c>
      <c r="C798" s="3">
        <f t="shared" si="23"/>
        <v>-1707</v>
      </c>
      <c r="E798" s="2" t="b">
        <f t="shared" ca="1" si="22"/>
        <v>1</v>
      </c>
      <c r="F798" s="2" cm="1">
        <f t="array" aca="1" ref="F798" ca="1">IF(G798&lt;&gt;"",INDIRECT("'"&amp;G798&amp;"'!"&amp;H798),"")</f>
        <v>2500</v>
      </c>
      <c r="G798" s="1582" t="s">
        <v>6961</v>
      </c>
      <c r="H798" s="2" t="s">
        <v>4628</v>
      </c>
    </row>
    <row r="799" spans="1:8" x14ac:dyDescent="0.2">
      <c r="A799">
        <v>794</v>
      </c>
      <c r="B799" s="7">
        <f>'EstExp 12-20'!E62</f>
        <v>20750</v>
      </c>
      <c r="C799" s="3">
        <f t="shared" si="23"/>
        <v>-19956</v>
      </c>
      <c r="E799" s="2" t="b">
        <f t="shared" ca="1" si="22"/>
        <v>1</v>
      </c>
      <c r="F799" s="2" cm="1">
        <f t="array" aca="1" ref="F799" ca="1">IF(G799&lt;&gt;"",INDIRECT("'"&amp;G799&amp;"'!"&amp;H799),"")</f>
        <v>20750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86000</v>
      </c>
      <c r="C802" s="3">
        <f t="shared" si="23"/>
        <v>-85203</v>
      </c>
      <c r="E802" s="2" t="b">
        <f t="shared" ca="1" si="22"/>
        <v>1</v>
      </c>
      <c r="F802" s="2" cm="1">
        <f t="array" aca="1" ref="F802" ca="1">IF(G802&lt;&gt;"",INDIRECT("'"&amp;G802&amp;"'!"&amp;H802),"")</f>
        <v>86000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109250</v>
      </c>
      <c r="C805" s="3">
        <f t="shared" si="23"/>
        <v>-108450</v>
      </c>
      <c r="E805" s="2" t="b">
        <f t="shared" ca="1" si="22"/>
        <v>1</v>
      </c>
      <c r="F805" s="2" cm="1">
        <f t="array" aca="1" ref="F805" ca="1">IF(G805&lt;&gt;"",INDIRECT("'"&amp;G805&amp;"'!"&amp;H805),"")</f>
        <v>109250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7161</v>
      </c>
      <c r="C807" s="3">
        <f t="shared" si="23"/>
        <v>-6359</v>
      </c>
      <c r="E807" s="2" t="b">
        <f t="shared" ca="1" si="22"/>
        <v>1</v>
      </c>
      <c r="F807" s="2" cm="1">
        <f t="array" aca="1" ref="F807" ca="1">IF(G807&lt;&gt;"",INDIRECT("'"&amp;G807&amp;"'!"&amp;H807),"")</f>
        <v>7161</v>
      </c>
      <c r="G807" s="1582" t="s">
        <v>6961</v>
      </c>
      <c r="H807" s="2" t="s">
        <v>4636</v>
      </c>
    </row>
    <row r="808" spans="1:11" x14ac:dyDescent="0.2">
      <c r="A808">
        <v>803</v>
      </c>
      <c r="B808" s="7">
        <f>'EstExp 12-20'!E71</f>
        <v>1000</v>
      </c>
      <c r="C808" s="3">
        <f t="shared" si="23"/>
        <v>-197</v>
      </c>
      <c r="E808" s="2" t="b">
        <f t="shared" ca="1" si="22"/>
        <v>1</v>
      </c>
      <c r="F808" s="2" cm="1">
        <f t="array" aca="1" ref="F808" ca="1">IF(G808&lt;&gt;"",INDIRECT("'"&amp;G808&amp;"'!"&amp;H808),"")</f>
        <v>1000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213290</v>
      </c>
      <c r="C811" s="3">
        <f t="shared" si="23"/>
        <v>-212484</v>
      </c>
      <c r="E811" s="2" t="b">
        <f t="shared" ca="1" si="22"/>
        <v>1</v>
      </c>
      <c r="F811" s="2" cm="1">
        <f t="array" aca="1" ref="F811" ca="1">IF(G811&lt;&gt;"",INDIRECT("'"&amp;G811&amp;"'!"&amp;H811),"")</f>
        <v>213290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221451</v>
      </c>
      <c r="C813" s="3">
        <f t="shared" si="23"/>
        <v>-220643</v>
      </c>
      <c r="E813" s="2" t="b">
        <f t="shared" ca="1" si="22"/>
        <v>1</v>
      </c>
      <c r="F813" s="2" cm="1">
        <f t="array" aca="1" ref="F813" ca="1">IF(G813&lt;&gt;"",INDIRECT("'"&amp;G813&amp;"'!"&amp;H813),"")</f>
        <v>221451</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893620</v>
      </c>
      <c r="C815" s="3">
        <f t="shared" si="23"/>
        <v>-892810</v>
      </c>
      <c r="E815" s="2" t="b">
        <f t="shared" ca="1" si="22"/>
        <v>1</v>
      </c>
      <c r="F815" s="2" cm="1">
        <f t="array" aca="1" ref="F815" ca="1">IF(G815&lt;&gt;"",INDIRECT("'"&amp;G815&amp;"'!"&amp;H815),"")</f>
        <v>893620</v>
      </c>
      <c r="G815" s="1582" t="s">
        <v>6961</v>
      </c>
      <c r="H815" s="2" t="s">
        <v>4642</v>
      </c>
    </row>
    <row r="816" spans="1:11" x14ac:dyDescent="0.2">
      <c r="A816">
        <v>811</v>
      </c>
      <c r="B816" s="7">
        <f>'EstExp 12-20'!E77</f>
        <v>8797</v>
      </c>
      <c r="C816" s="3">
        <f t="shared" si="23"/>
        <v>-7986</v>
      </c>
      <c r="E816" s="2" t="b">
        <f t="shared" ca="1" si="22"/>
        <v>1</v>
      </c>
      <c r="F816" s="2" cm="1">
        <f t="array" aca="1" ref="F816" ca="1">IF(G816&lt;&gt;"",INDIRECT("'"&amp;G816&amp;"'!"&amp;H816),"")</f>
        <v>8797</v>
      </c>
      <c r="G816" s="1582" t="s">
        <v>6961</v>
      </c>
      <c r="H816" s="2" t="s">
        <v>4643</v>
      </c>
    </row>
    <row r="817" spans="1:11" x14ac:dyDescent="0.2">
      <c r="A817">
        <v>812</v>
      </c>
      <c r="B817" s="7">
        <f>'EstExp 12-20'!E116</f>
        <v>948977</v>
      </c>
      <c r="C817" s="3">
        <f t="shared" si="23"/>
        <v>-948165</v>
      </c>
      <c r="E817" s="2" t="b">
        <f t="shared" ca="1" si="22"/>
        <v>1</v>
      </c>
      <c r="F817" s="2" cm="1">
        <f t="array" aca="1" ref="F817" ca="1">IF(G817&lt;&gt;"",INDIRECT("'"&amp;G817&amp;"'!"&amp;H817),"")</f>
        <v>948977</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176460</v>
      </c>
      <c r="C823" s="3">
        <f t="shared" si="23"/>
        <v>-175642</v>
      </c>
      <c r="E823" s="2" t="b">
        <f t="shared" ca="1" si="22"/>
        <v>1</v>
      </c>
      <c r="F823" s="2" cm="1">
        <f t="array" aca="1" ref="F823" ca="1">IF(G823&lt;&gt;"",INDIRECT("'"&amp;G823&amp;"'!"&amp;H823),"")</f>
        <v>176460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0</v>
      </c>
      <c r="C835" s="3">
        <f t="shared" si="23"/>
        <v>830</v>
      </c>
      <c r="E835" s="2" t="b">
        <f t="shared" ca="1" si="24"/>
        <v>1</v>
      </c>
      <c r="F835" s="2" cm="1">
        <f t="array" aca="1" ref="F835" ca="1">IF(G835&lt;&gt;"",INDIRECT("'"&amp;G835&amp;"'!"&amp;H835),"")</f>
        <v>0</v>
      </c>
      <c r="G835" s="1582" t="s">
        <v>6961</v>
      </c>
      <c r="H835" s="2" t="s">
        <v>4459</v>
      </c>
    </row>
    <row r="836" spans="1:11" x14ac:dyDescent="0.2">
      <c r="A836">
        <v>831</v>
      </c>
      <c r="B836" s="7">
        <f>'EstExp 12-20'!F14</f>
        <v>6500</v>
      </c>
      <c r="C836" s="3">
        <f t="shared" si="23"/>
        <v>-5669</v>
      </c>
      <c r="E836" s="2" t="b">
        <f t="shared" ca="1" si="24"/>
        <v>1</v>
      </c>
      <c r="F836" s="2" cm="1">
        <f t="array" aca="1" ref="F836" ca="1">IF(G836&lt;&gt;"",INDIRECT("'"&amp;G836&amp;"'!"&amp;H836),"")</f>
        <v>6500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190764</v>
      </c>
      <c r="C838" s="3">
        <f t="shared" si="23"/>
        <v>-189931</v>
      </c>
      <c r="E838" s="2" t="b">
        <f t="shared" ca="1" si="24"/>
        <v>1</v>
      </c>
      <c r="F838" s="2" cm="1">
        <f t="array" aca="1" ref="F838" ca="1">IF(G838&lt;&gt;"",INDIRECT("'"&amp;G838&amp;"'!"&amp;H838),"")</f>
        <v>190764</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6961</v>
      </c>
      <c r="H840" s="2" t="s">
        <v>4649</v>
      </c>
    </row>
    <row r="841" spans="1:11" x14ac:dyDescent="0.2">
      <c r="A841">
        <v>836</v>
      </c>
      <c r="B841" s="7">
        <f>'EstExp 12-20'!F40</f>
        <v>12200</v>
      </c>
      <c r="C841" s="3">
        <f t="shared" si="25"/>
        <v>-11364</v>
      </c>
      <c r="E841" s="2" t="b">
        <f t="shared" ca="1" si="24"/>
        <v>1</v>
      </c>
      <c r="F841" s="2" cm="1">
        <f t="array" aca="1" ref="F841" ca="1">IF(G841&lt;&gt;"",INDIRECT("'"&amp;G841&amp;"'!"&amp;H841),"")</f>
        <v>12200</v>
      </c>
      <c r="G841" s="1582" t="s">
        <v>6961</v>
      </c>
      <c r="H841" s="2" t="s">
        <v>4650</v>
      </c>
    </row>
    <row r="842" spans="1:11" x14ac:dyDescent="0.2">
      <c r="A842">
        <v>837</v>
      </c>
      <c r="B842" s="7">
        <f>'EstExp 12-20'!F41</f>
        <v>1000</v>
      </c>
      <c r="C842" s="3">
        <f t="shared" si="25"/>
        <v>-163</v>
      </c>
      <c r="E842" s="2" t="b">
        <f t="shared" ca="1" si="24"/>
        <v>1</v>
      </c>
      <c r="F842" s="2" cm="1">
        <f t="array" aca="1" ref="F842" ca="1">IF(G842&lt;&gt;"",INDIRECT("'"&amp;G842&amp;"'!"&amp;H842),"")</f>
        <v>1000</v>
      </c>
      <c r="G842" s="1582" t="s">
        <v>6961</v>
      </c>
      <c r="H842" s="2" t="s">
        <v>4651</v>
      </c>
    </row>
    <row r="843" spans="1:11" x14ac:dyDescent="0.2">
      <c r="A843">
        <v>838</v>
      </c>
      <c r="B843" s="7">
        <f>'EstExp 12-20'!F42</f>
        <v>600</v>
      </c>
      <c r="C843" s="3">
        <f t="shared" si="25"/>
        <v>238</v>
      </c>
      <c r="E843" s="2" t="b">
        <f t="shared" ca="1" si="24"/>
        <v>1</v>
      </c>
      <c r="F843" s="2" cm="1">
        <f t="array" aca="1" ref="F843" ca="1">IF(G843&lt;&gt;"",INDIRECT("'"&amp;G843&amp;"'!"&amp;H843),"")</f>
        <v>600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13800</v>
      </c>
      <c r="C845" s="3">
        <f t="shared" si="25"/>
        <v>-12960</v>
      </c>
      <c r="E845" s="2" t="b">
        <f t="shared" ca="1" si="24"/>
        <v>1</v>
      </c>
      <c r="F845" s="2" cm="1">
        <f t="array" aca="1" ref="F845" ca="1">IF(G845&lt;&gt;"",INDIRECT("'"&amp;G845&amp;"'!"&amp;H845),"")</f>
        <v>13800</v>
      </c>
      <c r="G845" s="1582" t="s">
        <v>6961</v>
      </c>
      <c r="H845" s="2" t="s">
        <v>4654</v>
      </c>
    </row>
    <row r="846" spans="1:11" x14ac:dyDescent="0.2">
      <c r="A846">
        <v>841</v>
      </c>
      <c r="B846" s="7">
        <f>'EstExp 12-20'!F46</f>
        <v>10000</v>
      </c>
      <c r="C846" s="3">
        <f t="shared" si="25"/>
        <v>-9159</v>
      </c>
      <c r="E846" s="2" t="b">
        <f t="shared" ca="1" si="24"/>
        <v>1</v>
      </c>
      <c r="F846" s="2" cm="1">
        <f t="array" aca="1" ref="F846" ca="1">IF(G846&lt;&gt;"",INDIRECT("'"&amp;G846&amp;"'!"&amp;H846),"")</f>
        <v>10000</v>
      </c>
      <c r="G846" s="1582" t="s">
        <v>6961</v>
      </c>
      <c r="H846" s="2" t="s">
        <v>4655</v>
      </c>
    </row>
    <row r="847" spans="1:11" x14ac:dyDescent="0.2">
      <c r="A847">
        <v>842</v>
      </c>
      <c r="B847" s="7">
        <f>'EstExp 12-20'!F47</f>
        <v>5750</v>
      </c>
      <c r="C847" s="3">
        <f t="shared" si="25"/>
        <v>-4908</v>
      </c>
      <c r="E847" s="2" t="b">
        <f t="shared" ca="1" si="24"/>
        <v>1</v>
      </c>
      <c r="F847" s="2" cm="1">
        <f t="array" aca="1" ref="F847" ca="1">IF(G847&lt;&gt;"",INDIRECT("'"&amp;G847&amp;"'!"&amp;H847),"")</f>
        <v>5750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15750</v>
      </c>
      <c r="C849" s="3">
        <f t="shared" si="25"/>
        <v>-14906</v>
      </c>
      <c r="E849" s="2" t="b">
        <f t="shared" ca="1" si="24"/>
        <v>1</v>
      </c>
      <c r="F849" s="2" cm="1">
        <f t="array" aca="1" ref="F849" ca="1">IF(G849&lt;&gt;"",INDIRECT("'"&amp;G849&amp;"'!"&amp;H849),"")</f>
        <v>15750</v>
      </c>
      <c r="G849" s="1582" t="s">
        <v>6961</v>
      </c>
      <c r="H849" s="2" t="s">
        <v>4658</v>
      </c>
    </row>
    <row r="850" spans="1:11" x14ac:dyDescent="0.2">
      <c r="A850">
        <v>845</v>
      </c>
      <c r="B850" s="7">
        <f>'EstExp 12-20'!F51</f>
        <v>6000</v>
      </c>
      <c r="C850" s="3">
        <f t="shared" si="25"/>
        <v>-5155</v>
      </c>
      <c r="E850" s="2" t="b">
        <f t="shared" ca="1" si="24"/>
        <v>1</v>
      </c>
      <c r="F850" s="2" cm="1">
        <f t="array" aca="1" ref="F850" ca="1">IF(G850&lt;&gt;"",INDIRECT("'"&amp;G850&amp;"'!"&amp;H850),"")</f>
        <v>6000</v>
      </c>
      <c r="G850" s="1582" t="s">
        <v>6961</v>
      </c>
      <c r="H850" s="2" t="s">
        <v>4659</v>
      </c>
    </row>
    <row r="851" spans="1:11" x14ac:dyDescent="0.2">
      <c r="A851">
        <v>846</v>
      </c>
      <c r="B851" s="7">
        <f>'EstExp 12-20'!F52</f>
        <v>7000</v>
      </c>
      <c r="C851" s="3">
        <f t="shared" si="25"/>
        <v>-6154</v>
      </c>
      <c r="E851" s="2" t="b">
        <f t="shared" ca="1" si="24"/>
        <v>1</v>
      </c>
      <c r="F851" s="2" cm="1">
        <f t="array" aca="1" ref="F851" ca="1">IF(G851&lt;&gt;"",INDIRECT("'"&amp;G851&amp;"'!"&amp;H851),"")</f>
        <v>7000</v>
      </c>
      <c r="G851" s="1582" t="s">
        <v>6961</v>
      </c>
      <c r="H851" s="2" t="s">
        <v>4660</v>
      </c>
    </row>
    <row r="852" spans="1:11" x14ac:dyDescent="0.2">
      <c r="A852">
        <v>847</v>
      </c>
      <c r="B852" s="7">
        <f>'EstExp 12-20'!F55</f>
        <v>18000</v>
      </c>
      <c r="C852" s="3">
        <f t="shared" si="25"/>
        <v>-17153</v>
      </c>
      <c r="E852" s="2" t="b">
        <f t="shared" ca="1" si="24"/>
        <v>1</v>
      </c>
      <c r="F852" s="2" cm="1">
        <f t="array" aca="1" ref="F852" ca="1">IF(G852&lt;&gt;"",INDIRECT("'"&amp;G852&amp;"'!"&amp;H852),"")</f>
        <v>18000</v>
      </c>
      <c r="G852" s="1582" t="s">
        <v>6961</v>
      </c>
      <c r="H852" s="2" t="s">
        <v>4661</v>
      </c>
    </row>
    <row r="853" spans="1:11" x14ac:dyDescent="0.2">
      <c r="A853">
        <v>848</v>
      </c>
      <c r="B853" s="7">
        <f>'EstExp 12-20'!F57</f>
        <v>10000</v>
      </c>
      <c r="C853" s="3">
        <f t="shared" si="25"/>
        <v>-9152</v>
      </c>
      <c r="E853" s="2" t="b">
        <f t="shared" ca="1" si="24"/>
        <v>1</v>
      </c>
      <c r="F853" s="2" cm="1">
        <f t="array" aca="1" ref="F853" ca="1">IF(G853&lt;&gt;"",INDIRECT("'"&amp;G853&amp;"'!"&amp;H853),"")</f>
        <v>10000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10000</v>
      </c>
      <c r="C855" s="3">
        <f t="shared" si="25"/>
        <v>-9150</v>
      </c>
      <c r="E855" s="2" t="b">
        <f t="shared" ca="1" si="24"/>
        <v>1</v>
      </c>
      <c r="F855" s="2" cm="1">
        <f t="array" aca="1" ref="F855" ca="1">IF(G855&lt;&gt;"",INDIRECT("'"&amp;G855&amp;"'!"&amp;H855),"")</f>
        <v>10000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20000</v>
      </c>
      <c r="C857" s="3">
        <f t="shared" si="25"/>
        <v>-19148</v>
      </c>
      <c r="E857" s="2" t="b">
        <f t="shared" ca="1" si="24"/>
        <v>1</v>
      </c>
      <c r="F857" s="2" cm="1">
        <f t="array" aca="1" ref="F857" ca="1">IF(G857&lt;&gt;"",INDIRECT("'"&amp;G857&amp;"'!"&amp;H857),"")</f>
        <v>20000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303000</v>
      </c>
      <c r="C860" s="3">
        <f t="shared" si="25"/>
        <v>-302145</v>
      </c>
      <c r="E860" s="2" t="b">
        <f t="shared" ca="1" si="24"/>
        <v>1</v>
      </c>
      <c r="F860" s="2" cm="1">
        <f t="array" aca="1" ref="F860" ca="1">IF(G860&lt;&gt;"",INDIRECT("'"&amp;G860&amp;"'!"&amp;H860),"")</f>
        <v>303000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323000</v>
      </c>
      <c r="C863" s="3">
        <f t="shared" si="25"/>
        <v>-322142</v>
      </c>
      <c r="E863" s="2" t="b">
        <f t="shared" ca="1" si="24"/>
        <v>1</v>
      </c>
      <c r="F863" s="2" cm="1">
        <f t="array" aca="1" ref="F863" ca="1">IF(G863&lt;&gt;"",INDIRECT("'"&amp;G863&amp;"'!"&amp;H863),"")</f>
        <v>323000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20000</v>
      </c>
      <c r="C869" s="3">
        <f t="shared" si="25"/>
        <v>-19136</v>
      </c>
      <c r="E869" s="2" t="b">
        <f t="shared" ca="1" si="24"/>
        <v>1</v>
      </c>
      <c r="F869" s="2" cm="1">
        <f t="array" aca="1" ref="F869" ca="1">IF(G869&lt;&gt;"",INDIRECT("'"&amp;G869&amp;"'!"&amp;H869),"")</f>
        <v>20000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20000</v>
      </c>
      <c r="C871" s="3">
        <f t="shared" si="25"/>
        <v>-19134</v>
      </c>
      <c r="E871" s="2" t="b">
        <f t="shared" ca="1" si="24"/>
        <v>1</v>
      </c>
      <c r="F871" s="2" cm="1">
        <f t="array" aca="1" ref="F871" ca="1">IF(G871&lt;&gt;"",INDIRECT("'"&amp;G871&amp;"'!"&amp;H871),"")</f>
        <v>20000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400550</v>
      </c>
      <c r="C873" s="3">
        <f t="shared" si="25"/>
        <v>-399682</v>
      </c>
      <c r="E873" s="2" t="b">
        <f t="shared" ca="1" si="24"/>
        <v>1</v>
      </c>
      <c r="F873" s="2" cm="1">
        <f t="array" aca="1" ref="F873" ca="1">IF(G873&lt;&gt;"",INDIRECT("'"&amp;G873&amp;"'!"&amp;H873),"")</f>
        <v>400550</v>
      </c>
      <c r="G873" s="1582" t="s">
        <v>6961</v>
      </c>
      <c r="H873" s="2" t="s">
        <v>4679</v>
      </c>
    </row>
    <row r="874" spans="1:11" x14ac:dyDescent="0.2">
      <c r="A874">
        <v>869</v>
      </c>
      <c r="B874" s="7">
        <f>'EstExp 12-20'!F77</f>
        <v>0</v>
      </c>
      <c r="C874" s="3">
        <f t="shared" si="25"/>
        <v>869</v>
      </c>
      <c r="E874" s="2" t="b">
        <f t="shared" ca="1" si="24"/>
        <v>1</v>
      </c>
      <c r="F874" s="2" cm="1">
        <f t="array" aca="1" ref="F874" ca="1">IF(G874&lt;&gt;"",INDIRECT("'"&amp;G874&amp;"'!"&amp;H874),"")</f>
        <v>0</v>
      </c>
      <c r="G874" s="1582" t="s">
        <v>6961</v>
      </c>
      <c r="H874" s="2" t="s">
        <v>4680</v>
      </c>
    </row>
    <row r="875" spans="1:11" x14ac:dyDescent="0.2">
      <c r="A875">
        <v>870</v>
      </c>
      <c r="B875" s="7">
        <f>'EstExp 12-20'!F116</f>
        <v>591314</v>
      </c>
      <c r="C875" s="3">
        <f t="shared" si="25"/>
        <v>-590444</v>
      </c>
      <c r="E875" s="2" t="b">
        <f t="shared" ca="1" si="24"/>
        <v>1</v>
      </c>
      <c r="F875" s="2" cm="1">
        <f t="array" aca="1" ref="F875" ca="1">IF(G875&lt;&gt;"",INDIRECT("'"&amp;G875&amp;"'!"&amp;H875),"")</f>
        <v>591314</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230000</v>
      </c>
      <c r="C881" s="3">
        <f t="shared" si="25"/>
        <v>-229124</v>
      </c>
      <c r="E881" s="2" t="b">
        <f t="shared" ca="1" si="24"/>
        <v>1</v>
      </c>
      <c r="F881" s="2" cm="1">
        <f t="array" aca="1" ref="F881" ca="1">IF(G881&lt;&gt;"",INDIRECT("'"&amp;G881&amp;"'!"&amp;H881),"")</f>
        <v>230000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0</v>
      </c>
      <c r="C894" s="3">
        <f t="shared" si="25"/>
        <v>889</v>
      </c>
      <c r="E894" s="2" t="b">
        <f t="shared" ca="1" si="24"/>
        <v>1</v>
      </c>
      <c r="F894" s="2" cm="1">
        <f t="array" aca="1" ref="F894" ca="1">IF(G894&lt;&gt;"",INDIRECT("'"&amp;G894&amp;"'!"&amp;H894),"")</f>
        <v>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230000</v>
      </c>
      <c r="C896" s="3">
        <f t="shared" si="25"/>
        <v>-229109</v>
      </c>
      <c r="E896" s="2" t="b">
        <f t="shared" ca="1" si="24"/>
        <v>1</v>
      </c>
      <c r="F896" s="2" cm="1">
        <f t="array" aca="1" ref="F896" ca="1">IF(G896&lt;&gt;"",INDIRECT("'"&amp;G896&amp;"'!"&amp;H896),"")</f>
        <v>230000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0</v>
      </c>
      <c r="C905" s="3">
        <f t="shared" si="27"/>
        <v>900</v>
      </c>
      <c r="E905" s="2" t="b">
        <f t="shared" ca="1" si="26"/>
        <v>1</v>
      </c>
      <c r="F905" s="2" cm="1">
        <f t="array" aca="1" ref="F905" ca="1">IF(G905&lt;&gt;"",INDIRECT("'"&amp;G905&amp;"'!"&amp;H905),"")</f>
        <v>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0</v>
      </c>
      <c r="C907" s="3">
        <f t="shared" si="27"/>
        <v>902</v>
      </c>
      <c r="E907" s="2" t="b">
        <f t="shared" ca="1" si="26"/>
        <v>1</v>
      </c>
      <c r="F907" s="2" cm="1">
        <f t="array" aca="1" ref="F907" ca="1">IF(G907&lt;&gt;"",INDIRECT("'"&amp;G907&amp;"'!"&amp;H907),"")</f>
        <v>0</v>
      </c>
      <c r="G907" s="1582" t="s">
        <v>6961</v>
      </c>
      <c r="H907" s="2" t="s">
        <v>4696</v>
      </c>
    </row>
    <row r="908" spans="1:8" x14ac:dyDescent="0.2">
      <c r="A908">
        <v>903</v>
      </c>
      <c r="B908" s="7">
        <f>'EstExp 12-20'!G51</f>
        <v>5000</v>
      </c>
      <c r="C908" s="3">
        <f t="shared" si="27"/>
        <v>-4097</v>
      </c>
      <c r="E908" s="2" t="b">
        <f t="shared" ca="1" si="26"/>
        <v>1</v>
      </c>
      <c r="F908" s="2" cm="1">
        <f t="array" aca="1" ref="F908" ca="1">IF(G908&lt;&gt;"",INDIRECT("'"&amp;G908&amp;"'!"&amp;H908),"")</f>
        <v>5000</v>
      </c>
      <c r="G908" s="1582" t="s">
        <v>6961</v>
      </c>
      <c r="H908" s="2" t="s">
        <v>4697</v>
      </c>
    </row>
    <row r="909" spans="1:8" x14ac:dyDescent="0.2">
      <c r="A909">
        <v>904</v>
      </c>
      <c r="B909" s="7">
        <f>'EstExp 12-20'!G52</f>
        <v>3000</v>
      </c>
      <c r="C909" s="3">
        <f t="shared" si="27"/>
        <v>-2096</v>
      </c>
      <c r="E909" s="2" t="b">
        <f t="shared" ca="1" si="26"/>
        <v>1</v>
      </c>
      <c r="F909" s="2" cm="1">
        <f t="array" aca="1" ref="F909" ca="1">IF(G909&lt;&gt;"",INDIRECT("'"&amp;G909&amp;"'!"&amp;H909),"")</f>
        <v>3000</v>
      </c>
      <c r="G909" s="1582" t="s">
        <v>6961</v>
      </c>
      <c r="H909" s="2" t="s">
        <v>4698</v>
      </c>
    </row>
    <row r="910" spans="1:8" x14ac:dyDescent="0.2">
      <c r="A910">
        <v>905</v>
      </c>
      <c r="B910" s="7">
        <f>'EstExp 12-20'!G55</f>
        <v>8000</v>
      </c>
      <c r="C910" s="3">
        <f t="shared" si="27"/>
        <v>-7095</v>
      </c>
      <c r="E910" s="2" t="b">
        <f t="shared" ca="1" si="26"/>
        <v>1</v>
      </c>
      <c r="F910" s="2" cm="1">
        <f t="array" aca="1" ref="F910" ca="1">IF(G910&lt;&gt;"",INDIRECT("'"&amp;G910&amp;"'!"&amp;H910),"")</f>
        <v>8000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7500</v>
      </c>
      <c r="C915" s="3">
        <f t="shared" si="27"/>
        <v>-6590</v>
      </c>
      <c r="E915" s="2" t="b">
        <f t="shared" ca="1" si="26"/>
        <v>1</v>
      </c>
      <c r="F915" s="2" cm="1">
        <f t="array" aca="1" ref="F915" ca="1">IF(G915&lt;&gt;"",INDIRECT("'"&amp;G915&amp;"'!"&amp;H915),"")</f>
        <v>7500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20000</v>
      </c>
      <c r="C918" s="3">
        <f t="shared" si="27"/>
        <v>-19087</v>
      </c>
      <c r="E918" s="2" t="b">
        <f t="shared" ca="1" si="26"/>
        <v>1</v>
      </c>
      <c r="F918" s="2" cm="1">
        <f t="array" aca="1" ref="F918" ca="1">IF(G918&lt;&gt;"",INDIRECT("'"&amp;G918&amp;"'!"&amp;H918),"")</f>
        <v>20000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27500</v>
      </c>
      <c r="C921" s="3">
        <f t="shared" si="27"/>
        <v>-26584</v>
      </c>
      <c r="E921" s="2" t="b">
        <f t="shared" ca="1" si="26"/>
        <v>1</v>
      </c>
      <c r="F921" s="2" cm="1">
        <f t="array" aca="1" ref="F921" ca="1">IF(G921&lt;&gt;"",INDIRECT("'"&amp;G921&amp;"'!"&amp;H921),"")</f>
        <v>27500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30000</v>
      </c>
      <c r="C927" s="3">
        <f t="shared" si="27"/>
        <v>-29078</v>
      </c>
      <c r="E927" s="2" t="b">
        <f t="shared" ca="1" si="26"/>
        <v>1</v>
      </c>
      <c r="F927" s="2" cm="1">
        <f t="array" aca="1" ref="F927" ca="1">IF(G927&lt;&gt;"",INDIRECT("'"&amp;G927&amp;"'!"&amp;H927),"")</f>
        <v>30000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30000</v>
      </c>
      <c r="C929" s="3">
        <f t="shared" si="27"/>
        <v>-29076</v>
      </c>
      <c r="E929" s="2" t="b">
        <f t="shared" ca="1" si="26"/>
        <v>1</v>
      </c>
      <c r="F929" s="2" cm="1">
        <f t="array" aca="1" ref="F929" ca="1">IF(G929&lt;&gt;"",INDIRECT("'"&amp;G929&amp;"'!"&amp;H929),"")</f>
        <v>30000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65500</v>
      </c>
      <c r="C931" s="3">
        <f t="shared" si="27"/>
        <v>-64574</v>
      </c>
      <c r="E931" s="2" t="b">
        <f t="shared" ca="1" si="26"/>
        <v>1</v>
      </c>
      <c r="F931" s="2" cm="1">
        <f t="array" aca="1" ref="F931" ca="1">IF(G931&lt;&gt;"",INDIRECT("'"&amp;G931&amp;"'!"&amp;H931),"")</f>
        <v>65500</v>
      </c>
      <c r="G931" s="1582" t="s">
        <v>6961</v>
      </c>
      <c r="H931" s="2" t="s">
        <v>4717</v>
      </c>
    </row>
    <row r="932" spans="1:11" x14ac:dyDescent="0.2">
      <c r="A932">
        <v>927</v>
      </c>
      <c r="B932" s="7">
        <f>'EstExp 12-20'!G77</f>
        <v>0</v>
      </c>
      <c r="C932" s="3">
        <f t="shared" si="27"/>
        <v>927</v>
      </c>
      <c r="E932" s="2" t="b">
        <f t="shared" ca="1" si="26"/>
        <v>1</v>
      </c>
      <c r="F932" s="2" cm="1">
        <f t="array" aca="1" ref="F932" ca="1">IF(G932&lt;&gt;"",INDIRECT("'"&amp;G932&amp;"'!"&amp;H932),"")</f>
        <v>0</v>
      </c>
      <c r="G932" s="1582" t="s">
        <v>6961</v>
      </c>
      <c r="H932" s="2" t="s">
        <v>4718</v>
      </c>
    </row>
    <row r="933" spans="1:11" x14ac:dyDescent="0.2">
      <c r="A933">
        <v>928</v>
      </c>
      <c r="B933" s="7">
        <f>'EstExp 12-20'!G116</f>
        <v>295500</v>
      </c>
      <c r="C933" s="3">
        <f t="shared" si="27"/>
        <v>-294572</v>
      </c>
      <c r="E933" s="2" t="b">
        <f t="shared" ca="1" si="26"/>
        <v>1</v>
      </c>
      <c r="F933" s="2" cm="1">
        <f t="array" aca="1" ref="F933" ca="1">IF(G933&lt;&gt;"",INDIRECT("'"&amp;G933&amp;"'!"&amp;H933),"")</f>
        <v>295500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500</v>
      </c>
      <c r="C939" s="3">
        <f t="shared" si="27"/>
        <v>434</v>
      </c>
      <c r="E939" s="2" t="b">
        <f t="shared" ca="1" si="26"/>
        <v>1</v>
      </c>
      <c r="F939" s="2" cm="1">
        <f t="array" aca="1" ref="F939" ca="1">IF(G939&lt;&gt;"",INDIRECT("'"&amp;G939&amp;"'!"&amp;H939),"")</f>
        <v>500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0</v>
      </c>
      <c r="C952" s="3">
        <f t="shared" si="27"/>
        <v>947</v>
      </c>
      <c r="E952" s="2" t="b">
        <f t="shared" ca="1" si="26"/>
        <v>1</v>
      </c>
      <c r="F952" s="2" cm="1">
        <f t="array" aca="1" ref="F952" ca="1">IF(G952&lt;&gt;"",INDIRECT("'"&amp;G952&amp;"'!"&amp;H952),"")</f>
        <v>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525500</v>
      </c>
      <c r="C954" s="3">
        <f t="shared" si="27"/>
        <v>-524551</v>
      </c>
      <c r="E954" s="2" t="b">
        <f t="shared" ca="1" si="26"/>
        <v>1</v>
      </c>
      <c r="F954" s="2" cm="1">
        <f t="array" aca="1" ref="F954" ca="1">IF(G954&lt;&gt;"",INDIRECT("'"&amp;G954&amp;"'!"&amp;H954),"")</f>
        <v>525500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17500</v>
      </c>
      <c r="C966" s="3">
        <f t="shared" si="27"/>
        <v>-16539</v>
      </c>
      <c r="E966" s="2" t="b">
        <f t="shared" ca="1" si="28"/>
        <v>1</v>
      </c>
      <c r="F966" s="2" cm="1">
        <f t="array" aca="1" ref="F966" ca="1">IF(G966&lt;&gt;"",INDIRECT("'"&amp;G966&amp;"'!"&amp;H966),"")</f>
        <v>17500</v>
      </c>
      <c r="G966" s="1582" t="s">
        <v>6961</v>
      </c>
      <c r="H966" s="2" t="s">
        <v>4734</v>
      </c>
    </row>
    <row r="967" spans="1:8" x14ac:dyDescent="0.2">
      <c r="A967">
        <v>962</v>
      </c>
      <c r="B967" s="7">
        <f>'EstExp 12-20'!H52</f>
        <v>4500</v>
      </c>
      <c r="C967" s="3">
        <f t="shared" si="27"/>
        <v>-3538</v>
      </c>
      <c r="E967" s="2" t="b">
        <f t="shared" ca="1" si="28"/>
        <v>1</v>
      </c>
      <c r="F967" s="2" cm="1">
        <f t="array" aca="1" ref="F967" ca="1">IF(G967&lt;&gt;"",INDIRECT("'"&amp;G967&amp;"'!"&amp;H967),"")</f>
        <v>4500</v>
      </c>
      <c r="G967" s="1582" t="s">
        <v>6961</v>
      </c>
      <c r="H967" s="2" t="s">
        <v>4735</v>
      </c>
    </row>
    <row r="968" spans="1:8" x14ac:dyDescent="0.2">
      <c r="A968">
        <v>963</v>
      </c>
      <c r="B968" s="7">
        <f>'EstExp 12-20'!H55</f>
        <v>22000</v>
      </c>
      <c r="C968" s="3">
        <f t="shared" ref="C968:C998" si="29">A968-B968</f>
        <v>-21037</v>
      </c>
      <c r="E968" s="2" t="b">
        <f t="shared" ca="1" si="28"/>
        <v>1</v>
      </c>
      <c r="F968" s="2" cm="1">
        <f t="array" aca="1" ref="F968" ca="1">IF(G968&lt;&gt;"",INDIRECT("'"&amp;G968&amp;"'!"&amp;H968),"")</f>
        <v>22000</v>
      </c>
      <c r="G968" s="1582" t="s">
        <v>6961</v>
      </c>
      <c r="H968" s="2" t="s">
        <v>4736</v>
      </c>
    </row>
    <row r="969" spans="1:8" x14ac:dyDescent="0.2">
      <c r="A969">
        <v>964</v>
      </c>
      <c r="B969" s="7">
        <f>'EstExp 12-20'!H57</f>
        <v>1000</v>
      </c>
      <c r="C969" s="3">
        <f t="shared" si="29"/>
        <v>-36</v>
      </c>
      <c r="E969" s="2" t="b">
        <f t="shared" ca="1" si="28"/>
        <v>1</v>
      </c>
      <c r="F969" s="2" cm="1">
        <f t="array" aca="1" ref="F969" ca="1">IF(G969&lt;&gt;"",INDIRECT("'"&amp;G969&amp;"'!"&amp;H969),"")</f>
        <v>1000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1000</v>
      </c>
      <c r="C971" s="3">
        <f t="shared" si="29"/>
        <v>-34</v>
      </c>
      <c r="E971" s="2" t="b">
        <f t="shared" ca="1" si="28"/>
        <v>1</v>
      </c>
      <c r="F971" s="2" cm="1">
        <f t="array" aca="1" ref="F971" ca="1">IF(G971&lt;&gt;"",INDIRECT("'"&amp;G971&amp;"'!"&amp;H971),"")</f>
        <v>1000</v>
      </c>
      <c r="G971" s="1582" t="s">
        <v>6961</v>
      </c>
      <c r="H971" s="2" t="s">
        <v>4739</v>
      </c>
    </row>
    <row r="972" spans="1:8" x14ac:dyDescent="0.2">
      <c r="A972">
        <v>967</v>
      </c>
      <c r="B972" s="7">
        <f>'EstExp 12-20'!H61</f>
        <v>2500</v>
      </c>
      <c r="C972" s="3">
        <f t="shared" si="29"/>
        <v>-1533</v>
      </c>
      <c r="E972" s="2" t="b">
        <f t="shared" ca="1" si="28"/>
        <v>1</v>
      </c>
      <c r="F972" s="2" cm="1">
        <f t="array" aca="1" ref="F972" ca="1">IF(G972&lt;&gt;"",INDIRECT("'"&amp;G972&amp;"'!"&amp;H972),"")</f>
        <v>2500</v>
      </c>
      <c r="G972" s="1582" t="s">
        <v>6961</v>
      </c>
      <c r="H972" s="2" t="s">
        <v>4740</v>
      </c>
    </row>
    <row r="973" spans="1:8" x14ac:dyDescent="0.2">
      <c r="A973">
        <v>968</v>
      </c>
      <c r="B973" s="7">
        <f>'EstExp 12-20'!H62</f>
        <v>13000</v>
      </c>
      <c r="C973" s="3">
        <f t="shared" si="29"/>
        <v>-12032</v>
      </c>
      <c r="E973" s="2" t="b">
        <f t="shared" ca="1" si="28"/>
        <v>1</v>
      </c>
      <c r="F973" s="2" cm="1">
        <f t="array" aca="1" ref="F973" ca="1">IF(G973&lt;&gt;"",INDIRECT("'"&amp;G973&amp;"'!"&amp;H973),"")</f>
        <v>13000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0</v>
      </c>
      <c r="C976" s="3">
        <f t="shared" si="29"/>
        <v>971</v>
      </c>
      <c r="E976" s="2" t="b">
        <f t="shared" ca="1" si="28"/>
        <v>1</v>
      </c>
      <c r="F976" s="2" cm="1">
        <f t="array" aca="1" ref="F976" ca="1">IF(G976&lt;&gt;"",INDIRECT("'"&amp;G976&amp;"'!"&amp;H976),"")</f>
        <v>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15500</v>
      </c>
      <c r="C979" s="3">
        <f t="shared" si="29"/>
        <v>-14526</v>
      </c>
      <c r="E979" s="2" t="b">
        <f t="shared" ca="1" si="28"/>
        <v>1</v>
      </c>
      <c r="F979" s="2" cm="1">
        <f t="array" aca="1" ref="F979" ca="1">IF(G979&lt;&gt;"",INDIRECT("'"&amp;G979&amp;"'!"&amp;H979),"")</f>
        <v>15500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38500</v>
      </c>
      <c r="C989" s="3">
        <f t="shared" si="29"/>
        <v>-37516</v>
      </c>
      <c r="E989" s="2" t="b">
        <f t="shared" ca="1" si="28"/>
        <v>1</v>
      </c>
      <c r="F989" s="2" cm="1">
        <f t="array" aca="1" ref="F989" ca="1">IF(G989&lt;&gt;"",INDIRECT("'"&amp;G989&amp;"'!"&amp;H989),"")</f>
        <v>38500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280000</v>
      </c>
      <c r="C991" s="3">
        <f t="shared" si="29"/>
        <v>-279014</v>
      </c>
      <c r="E991" s="2" t="b">
        <f t="shared" ca="1" si="28"/>
        <v>1</v>
      </c>
      <c r="F991" s="2" cm="1">
        <f t="array" aca="1" ref="F991" ca="1">IF(G991&lt;&gt;"",INDIRECT("'"&amp;G991&amp;"'!"&amp;H991),"")</f>
        <v>280000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844000</v>
      </c>
      <c r="C998" s="3">
        <f t="shared" si="29"/>
        <v>-843007</v>
      </c>
      <c r="E998" s="2" t="b">
        <f t="shared" ca="1" si="28"/>
        <v>1</v>
      </c>
      <c r="F998" s="2" cm="1">
        <f t="array" aca="1" ref="F998" ca="1">IF(G998&lt;&gt;"",INDIRECT("'"&amp;G998&amp;"'!"&amp;H998),"")</f>
        <v>844000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4076950</v>
      </c>
      <c r="C1037" s="3">
        <f t="shared" ref="C1037:C1095" si="31">A1037-B1037</f>
        <v>-4075918</v>
      </c>
      <c r="E1037" s="2" t="b">
        <f t="shared" ca="1" si="30"/>
        <v>1</v>
      </c>
      <c r="F1037" s="2" cm="1">
        <f t="array" aca="1" ref="F1037" ca="1">IF(G1037&lt;&gt;"",INDIRECT("'"&amp;G1037&amp;"'!"&amp;H1037),"")</f>
        <v>4076950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153805</v>
      </c>
      <c r="C1044" s="3">
        <f t="shared" si="31"/>
        <v>-152766</v>
      </c>
      <c r="E1044" s="2" t="b">
        <f t="shared" ca="1" si="30"/>
        <v>1</v>
      </c>
      <c r="F1044" s="2" cm="1">
        <f t="array" aca="1" ref="F1044" ca="1">IF(G1044&lt;&gt;"",INDIRECT("'"&amp;G1044&amp;"'!"&amp;H1044),"")</f>
        <v>153805</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0</v>
      </c>
      <c r="C1049" s="3">
        <f t="shared" si="31"/>
        <v>1044</v>
      </c>
      <c r="E1049" s="2" t="b">
        <f t="shared" ca="1" si="30"/>
        <v>1</v>
      </c>
      <c r="F1049" s="2" cm="1">
        <f t="array" aca="1" ref="F1049" ca="1">IF(G1049&lt;&gt;"",INDIRECT("'"&amp;G1049&amp;"'!"&amp;H1049),"")</f>
        <v>0</v>
      </c>
      <c r="G1049" s="1582" t="s">
        <v>6961</v>
      </c>
      <c r="H1049" s="2" t="s">
        <v>4498</v>
      </c>
    </row>
    <row r="1050" spans="1:11" x14ac:dyDescent="0.2">
      <c r="A1050">
        <v>1045</v>
      </c>
      <c r="B1050" s="7">
        <f>'EstExp 12-20'!K14</f>
        <v>79170</v>
      </c>
      <c r="C1050" s="3">
        <f t="shared" si="31"/>
        <v>-78125</v>
      </c>
      <c r="E1050" s="2" t="b">
        <f t="shared" ca="1" si="30"/>
        <v>1</v>
      </c>
      <c r="F1050" s="2" cm="1">
        <f t="array" aca="1" ref="F1050" ca="1">IF(G1050&lt;&gt;"",INDIRECT("'"&amp;G1050&amp;"'!"&amp;H1050),"")</f>
        <v>79170</v>
      </c>
      <c r="G1050" s="1582" t="s">
        <v>6961</v>
      </c>
      <c r="H1050" s="2" t="s">
        <v>4763</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6961</v>
      </c>
      <c r="H1051" s="2" t="s">
        <v>4764</v>
      </c>
    </row>
    <row r="1052" spans="1:11" x14ac:dyDescent="0.2">
      <c r="A1052">
        <v>1047</v>
      </c>
      <c r="B1052" s="7">
        <f>'EstExp 12-20'!K34</f>
        <v>5931973</v>
      </c>
      <c r="C1052" s="3">
        <f t="shared" si="31"/>
        <v>-5930926</v>
      </c>
      <c r="E1052" s="2" t="b">
        <f t="shared" ca="1" si="30"/>
        <v>1</v>
      </c>
      <c r="F1052" s="2" cm="1">
        <f t="array" aca="1" ref="F1052" ca="1">IF(G1052&lt;&gt;"",INDIRECT("'"&amp;G1052&amp;"'!"&amp;H1052),"")</f>
        <v>5931973</v>
      </c>
      <c r="G1052" s="1582" t="s">
        <v>6961</v>
      </c>
      <c r="H1052" s="2" t="s">
        <v>4765</v>
      </c>
    </row>
    <row r="1053" spans="1:11" x14ac:dyDescent="0.2">
      <c r="A1053">
        <v>1048</v>
      </c>
      <c r="B1053" s="7">
        <f>'EstExp 12-20'!K38</f>
        <v>126270</v>
      </c>
      <c r="C1053" s="3">
        <f t="shared" si="31"/>
        <v>-125222</v>
      </c>
      <c r="E1053" s="2" t="b">
        <f t="shared" ca="1" si="30"/>
        <v>1</v>
      </c>
      <c r="F1053" s="2" cm="1">
        <f t="array" aca="1" ref="F1053" ca="1">IF(G1053&lt;&gt;"",INDIRECT("'"&amp;G1053&amp;"'!"&amp;H1053),"")</f>
        <v>126270</v>
      </c>
      <c r="G1053" s="1582" t="s">
        <v>6961</v>
      </c>
      <c r="H1053" s="2" t="s">
        <v>4766</v>
      </c>
    </row>
    <row r="1054" spans="1:11" x14ac:dyDescent="0.2">
      <c r="A1054">
        <v>1049</v>
      </c>
      <c r="B1054" s="7">
        <f>'EstExp 12-20'!K39</f>
        <v>0</v>
      </c>
      <c r="C1054" s="3">
        <f t="shared" si="31"/>
        <v>1049</v>
      </c>
      <c r="E1054" s="2" t="b">
        <f t="shared" ca="1" si="30"/>
        <v>1</v>
      </c>
      <c r="F1054" s="2" cm="1">
        <f t="array" aca="1" ref="F1054" ca="1">IF(G1054&lt;&gt;"",INDIRECT("'"&amp;G1054&amp;"'!"&amp;H1054),"")</f>
        <v>0</v>
      </c>
      <c r="G1054" s="1582" t="s">
        <v>6961</v>
      </c>
      <c r="H1054" s="2" t="s">
        <v>4767</v>
      </c>
    </row>
    <row r="1055" spans="1:11" x14ac:dyDescent="0.2">
      <c r="A1055">
        <v>1050</v>
      </c>
      <c r="B1055" s="7">
        <f>'EstExp 12-20'!K40</f>
        <v>281872</v>
      </c>
      <c r="C1055" s="3">
        <f t="shared" si="31"/>
        <v>-280822</v>
      </c>
      <c r="E1055" s="2" t="b">
        <f t="shared" ca="1" si="30"/>
        <v>1</v>
      </c>
      <c r="F1055" s="2" cm="1">
        <f t="array" aca="1" ref="F1055" ca="1">IF(G1055&lt;&gt;"",INDIRECT("'"&amp;G1055&amp;"'!"&amp;H1055),"")</f>
        <v>281872</v>
      </c>
      <c r="G1055" s="1582" t="s">
        <v>6961</v>
      </c>
      <c r="H1055" s="2" t="s">
        <v>4768</v>
      </c>
    </row>
    <row r="1056" spans="1:11" x14ac:dyDescent="0.2">
      <c r="A1056">
        <v>1051</v>
      </c>
      <c r="B1056" s="7">
        <f>'EstExp 12-20'!K41</f>
        <v>102983</v>
      </c>
      <c r="C1056" s="3">
        <f t="shared" si="31"/>
        <v>-101932</v>
      </c>
      <c r="E1056" s="2" t="b">
        <f t="shared" ca="1" si="30"/>
        <v>1</v>
      </c>
      <c r="F1056" s="2" cm="1">
        <f t="array" aca="1" ref="F1056" ca="1">IF(G1056&lt;&gt;"",INDIRECT("'"&amp;G1056&amp;"'!"&amp;H1056),"")</f>
        <v>102983</v>
      </c>
      <c r="G1056" s="1582" t="s">
        <v>6961</v>
      </c>
      <c r="H1056" s="2" t="s">
        <v>4769</v>
      </c>
    </row>
    <row r="1057" spans="1:8" x14ac:dyDescent="0.2">
      <c r="A1057">
        <v>1052</v>
      </c>
      <c r="B1057" s="7">
        <f>'EstExp 12-20'!K42</f>
        <v>153726</v>
      </c>
      <c r="C1057" s="3">
        <f t="shared" si="31"/>
        <v>-152674</v>
      </c>
      <c r="E1057" s="2" t="b">
        <f t="shared" ca="1" si="30"/>
        <v>1</v>
      </c>
      <c r="F1057" s="2" cm="1">
        <f t="array" aca="1" ref="F1057" ca="1">IF(G1057&lt;&gt;"",INDIRECT("'"&amp;G1057&amp;"'!"&amp;H1057),"")</f>
        <v>153726</v>
      </c>
      <c r="G1057" s="1582" t="s">
        <v>6961</v>
      </c>
      <c r="H1057" s="2" t="s">
        <v>4770</v>
      </c>
    </row>
    <row r="1058" spans="1:8" x14ac:dyDescent="0.2">
      <c r="A1058">
        <v>1053</v>
      </c>
      <c r="B1058" s="7">
        <f>'EstExp 12-20'!K43</f>
        <v>62990</v>
      </c>
      <c r="C1058" s="3">
        <f t="shared" si="31"/>
        <v>-61937</v>
      </c>
      <c r="E1058" s="2" t="b">
        <f t="shared" ca="1" si="30"/>
        <v>1</v>
      </c>
      <c r="F1058" s="2" cm="1">
        <f t="array" aca="1" ref="F1058" ca="1">IF(G1058&lt;&gt;"",INDIRECT("'"&amp;G1058&amp;"'!"&amp;H1058),"")</f>
        <v>62990</v>
      </c>
      <c r="G1058" s="1582" t="s">
        <v>6961</v>
      </c>
      <c r="H1058" s="2" t="s">
        <v>4771</v>
      </c>
    </row>
    <row r="1059" spans="1:8" x14ac:dyDescent="0.2">
      <c r="A1059">
        <v>1054</v>
      </c>
      <c r="B1059" s="7">
        <f>'EstExp 12-20'!K44</f>
        <v>727841</v>
      </c>
      <c r="C1059" s="3">
        <f t="shared" si="31"/>
        <v>-726787</v>
      </c>
      <c r="E1059" s="2" t="b">
        <f t="shared" ca="1" si="30"/>
        <v>1</v>
      </c>
      <c r="F1059" s="2" cm="1">
        <f t="array" aca="1" ref="F1059" ca="1">IF(G1059&lt;&gt;"",INDIRECT("'"&amp;G1059&amp;"'!"&amp;H1059),"")</f>
        <v>727841</v>
      </c>
      <c r="G1059" s="1582" t="s">
        <v>6961</v>
      </c>
      <c r="H1059" s="2" t="s">
        <v>4772</v>
      </c>
    </row>
    <row r="1060" spans="1:8" x14ac:dyDescent="0.2">
      <c r="A1060">
        <v>1055</v>
      </c>
      <c r="B1060" s="7">
        <f>'EstExp 12-20'!K46</f>
        <v>91154</v>
      </c>
      <c r="C1060" s="3">
        <f t="shared" si="31"/>
        <v>-90099</v>
      </c>
      <c r="E1060" s="2" t="b">
        <f t="shared" ca="1" si="30"/>
        <v>1</v>
      </c>
      <c r="F1060" s="2" cm="1">
        <f t="array" aca="1" ref="F1060" ca="1">IF(G1060&lt;&gt;"",INDIRECT("'"&amp;G1060&amp;"'!"&amp;H1060),"")</f>
        <v>91154</v>
      </c>
      <c r="G1060" s="1582" t="s">
        <v>6961</v>
      </c>
      <c r="H1060" s="2" t="s">
        <v>4773</v>
      </c>
    </row>
    <row r="1061" spans="1:8" x14ac:dyDescent="0.2">
      <c r="A1061">
        <v>1056</v>
      </c>
      <c r="B1061" s="7">
        <f>'EstExp 12-20'!K47</f>
        <v>12250</v>
      </c>
      <c r="C1061" s="3">
        <f t="shared" si="31"/>
        <v>-11194</v>
      </c>
      <c r="E1061" s="2" t="b">
        <f t="shared" ca="1" si="30"/>
        <v>1</v>
      </c>
      <c r="F1061" s="2" cm="1">
        <f t="array" aca="1" ref="F1061" ca="1">IF(G1061&lt;&gt;"",INDIRECT("'"&amp;G1061&amp;"'!"&amp;H1061),"")</f>
        <v>12250</v>
      </c>
      <c r="G1061" s="1582" t="s">
        <v>6961</v>
      </c>
      <c r="H1061" s="2" t="s">
        <v>4774</v>
      </c>
    </row>
    <row r="1062" spans="1:8" x14ac:dyDescent="0.2">
      <c r="A1062">
        <v>1057</v>
      </c>
      <c r="B1062" s="7">
        <f>'EstExp 12-20'!K48</f>
        <v>62238</v>
      </c>
      <c r="C1062" s="3">
        <f t="shared" si="31"/>
        <v>-61181</v>
      </c>
      <c r="E1062" s="2" t="b">
        <f t="shared" ca="1" si="30"/>
        <v>1</v>
      </c>
      <c r="F1062" s="2" cm="1">
        <f t="array" aca="1" ref="F1062" ca="1">IF(G1062&lt;&gt;"",INDIRECT("'"&amp;G1062&amp;"'!"&amp;H1062),"")</f>
        <v>62238</v>
      </c>
      <c r="G1062" s="1582" t="s">
        <v>6961</v>
      </c>
      <c r="H1062" s="2" t="s">
        <v>4775</v>
      </c>
    </row>
    <row r="1063" spans="1:8" x14ac:dyDescent="0.2">
      <c r="A1063">
        <v>1058</v>
      </c>
      <c r="B1063" s="7">
        <f>'EstExp 12-20'!K49</f>
        <v>165642</v>
      </c>
      <c r="C1063" s="3">
        <f t="shared" si="31"/>
        <v>-164584</v>
      </c>
      <c r="E1063" s="2" t="b">
        <f t="shared" ca="1" si="30"/>
        <v>1</v>
      </c>
      <c r="F1063" s="2" cm="1">
        <f t="array" aca="1" ref="F1063" ca="1">IF(G1063&lt;&gt;"",INDIRECT("'"&amp;G1063&amp;"'!"&amp;H1063),"")</f>
        <v>165642</v>
      </c>
      <c r="G1063" s="1582" t="s">
        <v>6961</v>
      </c>
      <c r="H1063" s="2" t="s">
        <v>4776</v>
      </c>
    </row>
    <row r="1064" spans="1:8" x14ac:dyDescent="0.2">
      <c r="A1064">
        <v>1059</v>
      </c>
      <c r="B1064" s="7">
        <f>'EstExp 12-20'!K51</f>
        <v>255810</v>
      </c>
      <c r="C1064" s="3">
        <f t="shared" si="31"/>
        <v>-254751</v>
      </c>
      <c r="E1064" s="2" t="b">
        <f t="shared" ca="1" si="30"/>
        <v>1</v>
      </c>
      <c r="F1064" s="2" cm="1">
        <f t="array" aca="1" ref="F1064" ca="1">IF(G1064&lt;&gt;"",INDIRECT("'"&amp;G1064&amp;"'!"&amp;H1064),"")</f>
        <v>255810</v>
      </c>
      <c r="G1064" s="1582" t="s">
        <v>6961</v>
      </c>
      <c r="H1064" s="2" t="s">
        <v>4777</v>
      </c>
    </row>
    <row r="1065" spans="1:8" x14ac:dyDescent="0.2">
      <c r="A1065">
        <v>1060</v>
      </c>
      <c r="B1065" s="7">
        <f>'EstExp 12-20'!K52</f>
        <v>408151</v>
      </c>
      <c r="C1065" s="3">
        <f t="shared" si="31"/>
        <v>-407091</v>
      </c>
      <c r="E1065" s="2" t="b">
        <f t="shared" ca="1" si="30"/>
        <v>1</v>
      </c>
      <c r="F1065" s="2" cm="1">
        <f t="array" aca="1" ref="F1065" ca="1">IF(G1065&lt;&gt;"",INDIRECT("'"&amp;G1065&amp;"'!"&amp;H1065),"")</f>
        <v>408151</v>
      </c>
      <c r="G1065" s="1582" t="s">
        <v>6961</v>
      </c>
      <c r="H1065" s="2" t="s">
        <v>4778</v>
      </c>
    </row>
    <row r="1066" spans="1:8" x14ac:dyDescent="0.2">
      <c r="A1066">
        <v>1061</v>
      </c>
      <c r="B1066" s="7">
        <f>'EstExp 12-20'!K55</f>
        <v>787449</v>
      </c>
      <c r="C1066" s="3">
        <f t="shared" si="31"/>
        <v>-786388</v>
      </c>
      <c r="E1066" s="2" t="b">
        <f t="shared" ca="1" si="30"/>
        <v>1</v>
      </c>
      <c r="F1066" s="2" cm="1">
        <f t="array" aca="1" ref="F1066" ca="1">IF(G1066&lt;&gt;"",INDIRECT("'"&amp;G1066&amp;"'!"&amp;H1066),"")</f>
        <v>787449</v>
      </c>
      <c r="G1066" s="1582" t="s">
        <v>6961</v>
      </c>
      <c r="H1066" s="2" t="s">
        <v>4779</v>
      </c>
    </row>
    <row r="1067" spans="1:8" x14ac:dyDescent="0.2">
      <c r="A1067">
        <v>1062</v>
      </c>
      <c r="B1067" s="7">
        <f>'EstExp 12-20'!K57</f>
        <v>492598</v>
      </c>
      <c r="C1067" s="3">
        <f t="shared" si="31"/>
        <v>-491536</v>
      </c>
      <c r="E1067" s="2" t="b">
        <f t="shared" ca="1" si="30"/>
        <v>1</v>
      </c>
      <c r="F1067" s="2" cm="1">
        <f t="array" aca="1" ref="F1067" ca="1">IF(G1067&lt;&gt;"",INDIRECT("'"&amp;G1067&amp;"'!"&amp;H1067),"")</f>
        <v>492598</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492598</v>
      </c>
      <c r="C1069" s="3">
        <f t="shared" si="31"/>
        <v>-491534</v>
      </c>
      <c r="E1069" s="2" t="b">
        <f t="shared" ca="1" si="30"/>
        <v>1</v>
      </c>
      <c r="F1069" s="2" cm="1">
        <f t="array" aca="1" ref="F1069" ca="1">IF(G1069&lt;&gt;"",INDIRECT("'"&amp;G1069&amp;"'!"&amp;H1069),"")</f>
        <v>492598</v>
      </c>
      <c r="G1069" s="1582" t="s">
        <v>6961</v>
      </c>
      <c r="H1069" s="2" t="s">
        <v>4782</v>
      </c>
    </row>
    <row r="1070" spans="1:8" x14ac:dyDescent="0.2">
      <c r="A1070">
        <v>1065</v>
      </c>
      <c r="B1070" s="7">
        <f>'EstExp 12-20'!K61</f>
        <v>181680</v>
      </c>
      <c r="C1070" s="3">
        <f t="shared" si="31"/>
        <v>-180615</v>
      </c>
      <c r="E1070" s="2" t="b">
        <f t="shared" ca="1" si="30"/>
        <v>1</v>
      </c>
      <c r="F1070" s="2" cm="1">
        <f t="array" aca="1" ref="F1070" ca="1">IF(G1070&lt;&gt;"",INDIRECT("'"&amp;G1070&amp;"'!"&amp;H1070),"")</f>
        <v>181680</v>
      </c>
      <c r="G1070" s="1582" t="s">
        <v>6961</v>
      </c>
      <c r="H1070" s="2" t="s">
        <v>4783</v>
      </c>
    </row>
    <row r="1071" spans="1:8" x14ac:dyDescent="0.2">
      <c r="A1071">
        <v>1066</v>
      </c>
      <c r="B1071" s="7">
        <f>'EstExp 12-20'!K62</f>
        <v>176248</v>
      </c>
      <c r="C1071" s="3">
        <f t="shared" si="31"/>
        <v>-175182</v>
      </c>
      <c r="E1071" s="2" t="b">
        <f t="shared" ca="1" si="30"/>
        <v>1</v>
      </c>
      <c r="F1071" s="2" cm="1">
        <f t="array" aca="1" ref="F1071" ca="1">IF(G1071&lt;&gt;"",INDIRECT("'"&amp;G1071&amp;"'!"&amp;H1071),"")</f>
        <v>176248</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474050</v>
      </c>
      <c r="C1074" s="3">
        <f t="shared" si="31"/>
        <v>-472981</v>
      </c>
      <c r="E1074" s="2" t="b">
        <f t="shared" ca="1" si="30"/>
        <v>1</v>
      </c>
      <c r="F1074" s="2" cm="1">
        <f t="array" aca="1" ref="F1074" ca="1">IF(G1074&lt;&gt;"",INDIRECT("'"&amp;G1074&amp;"'!"&amp;H1074),"")</f>
        <v>474050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831978</v>
      </c>
      <c r="C1077" s="3">
        <f t="shared" si="31"/>
        <v>-830906</v>
      </c>
      <c r="E1077" s="2" t="b">
        <f t="shared" ca="1" si="30"/>
        <v>1</v>
      </c>
      <c r="F1077" s="2" cm="1">
        <f t="array" aca="1" ref="F1077" ca="1">IF(G1077&lt;&gt;"",INDIRECT("'"&amp;G1077&amp;"'!"&amp;H1077),"")</f>
        <v>831978</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7161</v>
      </c>
      <c r="C1079" s="3">
        <f t="shared" si="31"/>
        <v>-6087</v>
      </c>
      <c r="E1079" s="2" t="b">
        <f t="shared" ca="1" si="30"/>
        <v>1</v>
      </c>
      <c r="F1079" s="2" cm="1">
        <f t="array" aca="1" ref="F1079" ca="1">IF(G1079&lt;&gt;"",INDIRECT("'"&amp;G1079&amp;"'!"&amp;H1079),"")</f>
        <v>7161</v>
      </c>
      <c r="G1079" s="1582" t="s">
        <v>6961</v>
      </c>
      <c r="H1079" s="2" t="s">
        <v>4791</v>
      </c>
    </row>
    <row r="1080" spans="1:11" x14ac:dyDescent="0.2">
      <c r="A1080">
        <v>1075</v>
      </c>
      <c r="B1080" s="7">
        <f>'EstExp 12-20'!K71</f>
        <v>1000</v>
      </c>
      <c r="C1080" s="3">
        <f t="shared" si="31"/>
        <v>75</v>
      </c>
      <c r="E1080" s="2" t="b">
        <f t="shared" ca="1" si="30"/>
        <v>1</v>
      </c>
      <c r="F1080" s="2" cm="1">
        <f t="array" aca="1" ref="F1080" ca="1">IF(G1080&lt;&gt;"",INDIRECT("'"&amp;G1080&amp;"'!"&amp;H1080),"")</f>
        <v>1000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409936</v>
      </c>
      <c r="C1083" s="3">
        <f t="shared" si="31"/>
        <v>-408858</v>
      </c>
      <c r="E1083" s="2" t="b">
        <f t="shared" ca="1" si="30"/>
        <v>1</v>
      </c>
      <c r="F1083" s="2" cm="1">
        <f t="array" aca="1" ref="F1083" ca="1">IF(G1083&lt;&gt;"",INDIRECT("'"&amp;G1083&amp;"'!"&amp;H1083),"")</f>
        <v>409936</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418097</v>
      </c>
      <c r="C1085" s="3">
        <f t="shared" si="31"/>
        <v>-417017</v>
      </c>
      <c r="E1085" s="2" t="b">
        <f t="shared" ca="1" si="30"/>
        <v>1</v>
      </c>
      <c r="F1085" s="2" cm="1">
        <f t="array" aca="1" ref="F1085" ca="1">IF(G1085&lt;&gt;"",INDIRECT("'"&amp;G1085&amp;"'!"&amp;H1085),"")</f>
        <v>418097</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3423605</v>
      </c>
      <c r="C1087" s="3">
        <f t="shared" si="31"/>
        <v>-3422523</v>
      </c>
      <c r="E1087" s="2" t="b">
        <f t="shared" ca="1" si="30"/>
        <v>1</v>
      </c>
      <c r="F1087" s="2" cm="1">
        <f t="array" aca="1" ref="F1087" ca="1">IF(G1087&lt;&gt;"",INDIRECT("'"&amp;G1087&amp;"'!"&amp;H1087),"")</f>
        <v>3423605</v>
      </c>
      <c r="G1087" s="1582" t="s">
        <v>6961</v>
      </c>
      <c r="H1087" s="2" t="s">
        <v>4797</v>
      </c>
    </row>
    <row r="1088" spans="1:11" x14ac:dyDescent="0.2">
      <c r="A1088">
        <v>1083</v>
      </c>
      <c r="B1088" s="7">
        <f>'EstExp 12-20'!K77</f>
        <v>8797</v>
      </c>
      <c r="C1088" s="3">
        <f t="shared" si="31"/>
        <v>-7714</v>
      </c>
      <c r="E1088" s="2" t="b">
        <f t="shared" ca="1" si="30"/>
        <v>1</v>
      </c>
      <c r="F1088" s="2" cm="1">
        <f t="array" aca="1" ref="F1088" ca="1">IF(G1088&lt;&gt;"",INDIRECT("'"&amp;G1088&amp;"'!"&amp;H1088),"")</f>
        <v>8797</v>
      </c>
      <c r="G1088" s="1582" t="s">
        <v>6961</v>
      </c>
      <c r="H1088" s="2" t="s">
        <v>4798</v>
      </c>
    </row>
    <row r="1089" spans="1:11" x14ac:dyDescent="0.2">
      <c r="A1089">
        <v>1084</v>
      </c>
      <c r="B1089" s="7">
        <f>'EstExp 12-20'!K104</f>
        <v>293000</v>
      </c>
      <c r="C1089" s="3">
        <f t="shared" si="31"/>
        <v>-291916</v>
      </c>
      <c r="E1089" s="2" t="b">
        <f t="shared" ca="1" si="30"/>
        <v>1</v>
      </c>
      <c r="F1089" s="2" cm="1">
        <f t="array" aca="1" ref="F1089" ca="1">IF(G1089&lt;&gt;"",INDIRECT("'"&amp;G1089&amp;"'!"&amp;H1089),"")</f>
        <v>293000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9657375</v>
      </c>
      <c r="C1096" s="3">
        <f t="shared" ref="C1096:C1097" si="33">A1096-B1096</f>
        <v>-9656284</v>
      </c>
      <c r="E1096" s="2" t="b">
        <f t="shared" ca="1" si="32"/>
        <v>1</v>
      </c>
      <c r="F1096" s="2" cm="1">
        <f t="array" aca="1" ref="F1096" ca="1">IF(G1096&lt;&gt;"",INDIRECT("'"&amp;G1096&amp;"'!"&amp;H1096),"")</f>
        <v>9657375</v>
      </c>
      <c r="G1096" s="1582" t="s">
        <v>6961</v>
      </c>
      <c r="H1096" s="2" t="s">
        <v>4804</v>
      </c>
    </row>
    <row r="1097" spans="1:11" x14ac:dyDescent="0.2">
      <c r="A1097">
        <v>1092</v>
      </c>
      <c r="B1097" s="7">
        <f>'EstExp 12-20'!K118</f>
        <v>114105</v>
      </c>
      <c r="C1097" s="3">
        <f t="shared" si="33"/>
        <v>-113013</v>
      </c>
      <c r="E1097" s="2" t="b">
        <f t="shared" ca="1" si="32"/>
        <v>1</v>
      </c>
      <c r="F1097" s="2" cm="1">
        <f t="array" aca="1" ref="F1097" ca="1">IF(G1097&lt;&gt;"",INDIRECT("'"&amp;G1097&amp;"'!"&amp;H1097),"")</f>
        <v>114105</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265661</v>
      </c>
      <c r="C1165" s="3">
        <f t="shared" si="35"/>
        <v>-264501</v>
      </c>
      <c r="E1165" s="2" t="b">
        <f t="shared" ca="1" si="34"/>
        <v>1</v>
      </c>
      <c r="F1165" s="2" cm="1">
        <f t="array" aca="1" ref="F1165" ca="1">IF(G1165&lt;&gt;"",INDIRECT("'"&amp;G1165&amp;"'!"&amp;H1165),"")</f>
        <v>265661</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265661</v>
      </c>
      <c r="C1167" s="3">
        <f t="shared" si="35"/>
        <v>-264499</v>
      </c>
      <c r="E1167" s="2" t="b">
        <f t="shared" ca="1" si="34"/>
        <v>1</v>
      </c>
      <c r="F1167" s="2" cm="1">
        <f t="array" aca="1" ref="F1167" ca="1">IF(G1167&lt;&gt;"",INDIRECT("'"&amp;G1167&amp;"'!"&amp;H1167),"")</f>
        <v>265661</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265661</v>
      </c>
      <c r="C1169" s="3">
        <f t="shared" si="35"/>
        <v>-264497</v>
      </c>
      <c r="E1169" s="2" t="b">
        <f t="shared" ca="1" si="34"/>
        <v>1</v>
      </c>
      <c r="F1169" s="2" cm="1">
        <f t="array" aca="1" ref="F1169" ca="1">IF(G1169&lt;&gt;"",INDIRECT("'"&amp;G1169&amp;"'!"&amp;H1169),"")</f>
        <v>265661</v>
      </c>
      <c r="G1169" s="1582" t="s">
        <v>6961</v>
      </c>
      <c r="H1169" s="2" t="s">
        <v>4811</v>
      </c>
    </row>
    <row r="1170" spans="1:11" x14ac:dyDescent="0.2">
      <c r="A1170">
        <v>1165</v>
      </c>
      <c r="B1170" s="7">
        <f>'EstExp 12-20'!C155</f>
        <v>265661</v>
      </c>
      <c r="C1170" s="3">
        <f t="shared" si="35"/>
        <v>-264496</v>
      </c>
      <c r="E1170" s="2" t="b">
        <f t="shared" ca="1" si="34"/>
        <v>1</v>
      </c>
      <c r="F1170" s="2" cm="1">
        <f t="array" aca="1" ref="F1170" ca="1">IF(G1170&lt;&gt;"",INDIRECT("'"&amp;G1170&amp;"'!"&amp;H1170),"")</f>
        <v>265661</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45061</v>
      </c>
      <c r="C1173" s="3">
        <f t="shared" si="35"/>
        <v>-43893</v>
      </c>
      <c r="E1173" s="2" t="b">
        <f t="shared" ca="1" si="34"/>
        <v>1</v>
      </c>
      <c r="F1173" s="2" cm="1">
        <f t="array" aca="1" ref="F1173" ca="1">IF(G1173&lt;&gt;"",INDIRECT("'"&amp;G1173&amp;"'!"&amp;H1173),"")</f>
        <v>45061</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45061</v>
      </c>
      <c r="C1175" s="3">
        <f t="shared" si="35"/>
        <v>-43891</v>
      </c>
      <c r="E1175" s="2" t="b">
        <f t="shared" ca="1" si="34"/>
        <v>1</v>
      </c>
      <c r="F1175" s="2" cm="1">
        <f t="array" aca="1" ref="F1175" ca="1">IF(G1175&lt;&gt;"",INDIRECT("'"&amp;G1175&amp;"'!"&amp;H1175),"")</f>
        <v>45061</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45061</v>
      </c>
      <c r="C1177" s="3">
        <f t="shared" si="35"/>
        <v>-43889</v>
      </c>
      <c r="E1177" s="2" t="b">
        <f t="shared" ca="1" si="34"/>
        <v>1</v>
      </c>
      <c r="F1177" s="2" cm="1">
        <f t="array" aca="1" ref="F1177" ca="1">IF(G1177&lt;&gt;"",INDIRECT("'"&amp;G1177&amp;"'!"&amp;H1177),"")</f>
        <v>45061</v>
      </c>
      <c r="G1177" s="1582" t="s">
        <v>6961</v>
      </c>
      <c r="H1177" s="2" t="s">
        <v>4818</v>
      </c>
    </row>
    <row r="1178" spans="1:11" x14ac:dyDescent="0.2">
      <c r="A1178">
        <v>1173</v>
      </c>
      <c r="B1178" s="7">
        <f>'EstExp 12-20'!D155</f>
        <v>45061</v>
      </c>
      <c r="C1178" s="3">
        <f t="shared" si="35"/>
        <v>-43888</v>
      </c>
      <c r="E1178" s="2" t="b">
        <f t="shared" ca="1" si="34"/>
        <v>1</v>
      </c>
      <c r="F1178" s="2" cm="1">
        <f t="array" aca="1" ref="F1178" ca="1">IF(G1178&lt;&gt;"",INDIRECT("'"&amp;G1178&amp;"'!"&amp;H1178),"")</f>
        <v>45061</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277000</v>
      </c>
      <c r="C1181" s="3">
        <f t="shared" si="35"/>
        <v>-275824</v>
      </c>
      <c r="E1181" s="2" t="b">
        <f t="shared" ca="1" si="34"/>
        <v>1</v>
      </c>
      <c r="F1181" s="2" cm="1">
        <f t="array" aca="1" ref="F1181" ca="1">IF(G1181&lt;&gt;"",INDIRECT("'"&amp;G1181&amp;"'!"&amp;H1181),"")</f>
        <v>277000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277000</v>
      </c>
      <c r="C1183" s="3">
        <f t="shared" si="35"/>
        <v>-275822</v>
      </c>
      <c r="E1183" s="2" t="b">
        <f t="shared" ca="1" si="34"/>
        <v>1</v>
      </c>
      <c r="F1183" s="2" cm="1">
        <f t="array" aca="1" ref="F1183" ca="1">IF(G1183&lt;&gt;"",INDIRECT("'"&amp;G1183&amp;"'!"&amp;H1183),"")</f>
        <v>277000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277000</v>
      </c>
      <c r="C1185" s="3">
        <f t="shared" si="35"/>
        <v>-275820</v>
      </c>
      <c r="E1185" s="2" t="b">
        <f t="shared" ca="1" si="34"/>
        <v>1</v>
      </c>
      <c r="F1185" s="2" cm="1">
        <f t="array" aca="1" ref="F1185" ca="1">IF(G1185&lt;&gt;"",INDIRECT("'"&amp;G1185&amp;"'!"&amp;H1185),"")</f>
        <v>277000</v>
      </c>
      <c r="G1185" s="1582" t="s">
        <v>6961</v>
      </c>
      <c r="H1185" s="2" t="s">
        <v>4825</v>
      </c>
    </row>
    <row r="1186" spans="1:11" x14ac:dyDescent="0.2">
      <c r="A1186">
        <v>1181</v>
      </c>
      <c r="B1186" s="7">
        <f>'EstExp 12-20'!E155</f>
        <v>277000</v>
      </c>
      <c r="C1186" s="3">
        <f t="shared" si="35"/>
        <v>-275819</v>
      </c>
      <c r="E1186" s="2" t="b">
        <f t="shared" ca="1" si="34"/>
        <v>1</v>
      </c>
      <c r="F1186" s="2" cm="1">
        <f t="array" aca="1" ref="F1186" ca="1">IF(G1186&lt;&gt;"",INDIRECT("'"&amp;G1186&amp;"'!"&amp;H1186),"")</f>
        <v>277000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189500</v>
      </c>
      <c r="C1189" s="3">
        <f t="shared" si="35"/>
        <v>-188316</v>
      </c>
      <c r="E1189" s="2" t="b">
        <f t="shared" ca="1" si="34"/>
        <v>1</v>
      </c>
      <c r="F1189" s="2" cm="1">
        <f t="array" aca="1" ref="F1189" ca="1">IF(G1189&lt;&gt;"",INDIRECT("'"&amp;G1189&amp;"'!"&amp;H1189),"")</f>
        <v>189500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189500</v>
      </c>
      <c r="C1191" s="3">
        <f t="shared" si="35"/>
        <v>-188314</v>
      </c>
      <c r="E1191" s="2" t="b">
        <f t="shared" ca="1" si="34"/>
        <v>1</v>
      </c>
      <c r="F1191" s="2" cm="1">
        <f t="array" aca="1" ref="F1191" ca="1">IF(G1191&lt;&gt;"",INDIRECT("'"&amp;G1191&amp;"'!"&amp;H1191),"")</f>
        <v>189500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189500</v>
      </c>
      <c r="C1193" s="3">
        <f t="shared" si="35"/>
        <v>-188312</v>
      </c>
      <c r="E1193" s="2" t="b">
        <f t="shared" ca="1" si="34"/>
        <v>1</v>
      </c>
      <c r="F1193" s="2" cm="1">
        <f t="array" aca="1" ref="F1193" ca="1">IF(G1193&lt;&gt;"",INDIRECT("'"&amp;G1193&amp;"'!"&amp;H1193),"")</f>
        <v>189500</v>
      </c>
      <c r="G1193" s="1582" t="s">
        <v>6961</v>
      </c>
      <c r="H1193" s="2" t="s">
        <v>4832</v>
      </c>
    </row>
    <row r="1194" spans="1:11" x14ac:dyDescent="0.2">
      <c r="A1194">
        <v>1189</v>
      </c>
      <c r="B1194" s="7">
        <f>'EstExp 12-20'!F155</f>
        <v>189500</v>
      </c>
      <c r="C1194" s="3">
        <f t="shared" si="35"/>
        <v>-188311</v>
      </c>
      <c r="E1194" s="2" t="b">
        <f t="shared" ca="1" si="34"/>
        <v>1</v>
      </c>
      <c r="F1194" s="2" cm="1">
        <f t="array" aca="1" ref="F1194" ca="1">IF(G1194&lt;&gt;"",INDIRECT("'"&amp;G1194&amp;"'!"&amp;H1194),"")</f>
        <v>189500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150000</v>
      </c>
      <c r="C1196" s="3">
        <f t="shared" si="35"/>
        <v>-148809</v>
      </c>
      <c r="E1196" s="2" t="b">
        <f t="shared" ca="1" si="34"/>
        <v>1</v>
      </c>
      <c r="F1196" s="2" cm="1">
        <f t="array" aca="1" ref="F1196" ca="1">IF(G1196&lt;&gt;"",INDIRECT("'"&amp;G1196&amp;"'!"&amp;H1196),"")</f>
        <v>150000</v>
      </c>
      <c r="G1196" s="1582" t="s">
        <v>6961</v>
      </c>
      <c r="H1196" s="2" t="s">
        <v>4835</v>
      </c>
    </row>
    <row r="1197" spans="1:11" x14ac:dyDescent="0.2">
      <c r="A1197">
        <v>1192</v>
      </c>
      <c r="B1197" s="7">
        <f>'EstExp 12-20'!G128</f>
        <v>259500</v>
      </c>
      <c r="C1197" s="3">
        <f t="shared" si="35"/>
        <v>-258308</v>
      </c>
      <c r="E1197" s="2" t="b">
        <f t="shared" ca="1" si="34"/>
        <v>1</v>
      </c>
      <c r="F1197" s="2" cm="1">
        <f t="array" aca="1" ref="F1197" ca="1">IF(G1197&lt;&gt;"",INDIRECT("'"&amp;G1197&amp;"'!"&amp;H1197),"")</f>
        <v>259500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409500</v>
      </c>
      <c r="C1200" s="3">
        <f t="shared" si="35"/>
        <v>-408305</v>
      </c>
      <c r="E1200" s="2" t="b">
        <f t="shared" ca="1" si="34"/>
        <v>1</v>
      </c>
      <c r="F1200" s="2" cm="1">
        <f t="array" aca="1" ref="F1200" ca="1">IF(G1200&lt;&gt;"",INDIRECT("'"&amp;G1200&amp;"'!"&amp;H1200),"")</f>
        <v>409500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409500</v>
      </c>
      <c r="C1202" s="3">
        <f t="shared" si="35"/>
        <v>-408303</v>
      </c>
      <c r="E1202" s="2" t="b">
        <f t="shared" ca="1" si="34"/>
        <v>1</v>
      </c>
      <c r="F1202" s="2" cm="1">
        <f t="array" aca="1" ref="F1202" ca="1">IF(G1202&lt;&gt;"",INDIRECT("'"&amp;G1202&amp;"'!"&amp;H1202),"")</f>
        <v>409500</v>
      </c>
      <c r="G1202" s="1582" t="s">
        <v>6961</v>
      </c>
      <c r="H1202" s="2" t="s">
        <v>4840</v>
      </c>
    </row>
    <row r="1203" spans="1:11" x14ac:dyDescent="0.2">
      <c r="A1203">
        <v>1198</v>
      </c>
      <c r="B1203" s="7">
        <f>'EstExp 12-20'!G155</f>
        <v>409500</v>
      </c>
      <c r="C1203" s="3">
        <f t="shared" si="35"/>
        <v>-408302</v>
      </c>
      <c r="E1203" s="2" t="b">
        <f t="shared" ca="1" si="34"/>
        <v>1</v>
      </c>
      <c r="F1203" s="2" cm="1">
        <f t="array" aca="1" ref="F1203" ca="1">IF(G1203&lt;&gt;"",INDIRECT("'"&amp;G1203&amp;"'!"&amp;H1203),"")</f>
        <v>409500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150000</v>
      </c>
      <c r="C1219" s="3">
        <f t="shared" si="35"/>
        <v>-148786</v>
      </c>
      <c r="E1219" s="2" t="b">
        <f t="shared" ca="1" si="36"/>
        <v>1</v>
      </c>
      <c r="F1219" s="2" cm="1">
        <f t="array" aca="1" ref="F1219" ca="1">IF(G1219&lt;&gt;"",INDIRECT("'"&amp;G1219&amp;"'!"&amp;H1219),"")</f>
        <v>150000</v>
      </c>
      <c r="G1219" s="1582" t="s">
        <v>6961</v>
      </c>
      <c r="H1219" s="2" t="s">
        <v>4855</v>
      </c>
    </row>
    <row r="1220" spans="1:11" x14ac:dyDescent="0.2">
      <c r="A1220">
        <v>1215</v>
      </c>
      <c r="B1220" s="7">
        <f>'EstExp 12-20'!K128</f>
        <v>1036722</v>
      </c>
      <c r="C1220" s="3">
        <f t="shared" si="35"/>
        <v>-1035507</v>
      </c>
      <c r="E1220" s="2" t="b">
        <f t="shared" ca="1" si="36"/>
        <v>1</v>
      </c>
      <c r="F1220" s="2" cm="1">
        <f t="array" aca="1" ref="F1220" ca="1">IF(G1220&lt;&gt;"",INDIRECT("'"&amp;G1220&amp;"'!"&amp;H1220),"")</f>
        <v>1036722</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1186722</v>
      </c>
      <c r="C1223" s="3">
        <f t="shared" si="35"/>
        <v>-1185504</v>
      </c>
      <c r="E1223" s="2" t="b">
        <f t="shared" ca="1" si="36"/>
        <v>1</v>
      </c>
      <c r="F1223" s="2" cm="1">
        <f t="array" aca="1" ref="F1223" ca="1">IF(G1223&lt;&gt;"",INDIRECT("'"&amp;G1223&amp;"'!"&amp;H1223),"")</f>
        <v>1186722</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1186722</v>
      </c>
      <c r="C1225" s="3">
        <f t="shared" si="37"/>
        <v>-1185502</v>
      </c>
      <c r="E1225" s="2" t="b">
        <f t="shared" ca="1" si="36"/>
        <v>1</v>
      </c>
      <c r="F1225" s="2" cm="1">
        <f t="array" aca="1" ref="F1225" ca="1">IF(G1225&lt;&gt;"",INDIRECT("'"&amp;G1225&amp;"'!"&amp;H1225),"")</f>
        <v>1186722</v>
      </c>
      <c r="G1225" s="1582" t="s">
        <v>6961</v>
      </c>
      <c r="H1225" s="2" t="s">
        <v>4860</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1186722</v>
      </c>
      <c r="C1232" s="3">
        <f t="shared" si="37"/>
        <v>-1185495</v>
      </c>
      <c r="E1232" s="2" t="b">
        <f t="shared" ca="1" si="36"/>
        <v>1</v>
      </c>
      <c r="F1232" s="2" cm="1">
        <f t="array" aca="1" ref="F1232" ca="1">IF(G1232&lt;&gt;"",INDIRECT("'"&amp;G1232&amp;"'!"&amp;H1232),"")</f>
        <v>1186722</v>
      </c>
      <c r="G1232" s="1582" t="s">
        <v>6961</v>
      </c>
      <c r="H1232" s="2" t="s">
        <v>4866</v>
      </c>
    </row>
    <row r="1233" spans="1:11" x14ac:dyDescent="0.2">
      <c r="A1233">
        <v>1228</v>
      </c>
      <c r="B1233" s="7">
        <f>'EstExp 12-20'!K156</f>
        <v>35869</v>
      </c>
      <c r="C1233" s="3">
        <f t="shared" si="37"/>
        <v>-34641</v>
      </c>
      <c r="E1233" s="2" t="b">
        <f t="shared" ca="1" si="36"/>
        <v>1</v>
      </c>
      <c r="F1233" s="2" cm="1">
        <f t="array" aca="1" ref="F1233" ca="1">IF(G1233&lt;&gt;"",INDIRECT("'"&amp;G1233&amp;"'!"&amp;H1233),"")</f>
        <v>35869</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0</v>
      </c>
      <c r="C1256" s="3">
        <f t="shared" si="37"/>
        <v>1251</v>
      </c>
      <c r="E1256" s="2" t="b">
        <f t="shared" ca="1" si="36"/>
        <v>1</v>
      </c>
      <c r="F1256" s="2" cm="1">
        <f t="array" aca="1" ref="F1256" ca="1">IF(G1256&lt;&gt;"",INDIRECT("'"&amp;G1256&amp;"'!"&amp;H1256),"")</f>
        <v>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183960</v>
      </c>
      <c r="C1258" s="3">
        <f t="shared" si="37"/>
        <v>-182707</v>
      </c>
      <c r="E1258" s="2" t="b">
        <f t="shared" ca="1" si="36"/>
        <v>1</v>
      </c>
      <c r="F1258" s="2" cm="1">
        <f t="array" aca="1" ref="F1258" ca="1">IF(G1258&lt;&gt;"",INDIRECT("'"&amp;G1258&amp;"'!"&amp;H1258),"")</f>
        <v>183960</v>
      </c>
      <c r="G1258" s="1582" t="s">
        <v>6961</v>
      </c>
      <c r="H1258" s="2" t="s">
        <v>4875</v>
      </c>
    </row>
    <row r="1259" spans="1:11" x14ac:dyDescent="0.2">
      <c r="A1259">
        <v>1254</v>
      </c>
      <c r="B1259" s="7">
        <f>'EstExp 12-20'!H174</f>
        <v>245000</v>
      </c>
      <c r="C1259" s="3">
        <f t="shared" si="37"/>
        <v>-243746</v>
      </c>
      <c r="E1259" s="2" t="b">
        <f t="shared" ca="1" si="36"/>
        <v>1</v>
      </c>
      <c r="F1259" s="2" cm="1">
        <f t="array" aca="1" ref="F1259" ca="1">IF(G1259&lt;&gt;"",INDIRECT("'"&amp;G1259&amp;"'!"&amp;H1259),"")</f>
        <v>245000</v>
      </c>
      <c r="G1259" s="1582" t="s">
        <v>6961</v>
      </c>
      <c r="H1259" s="2" t="s">
        <v>4876</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x14ac:dyDescent="0.2">
      <c r="A1261">
        <v>1256</v>
      </c>
      <c r="B1261" s="7">
        <f>'EstExp 12-20'!H176</f>
        <v>428960</v>
      </c>
      <c r="C1261" s="3">
        <f t="shared" si="37"/>
        <v>-427704</v>
      </c>
      <c r="E1261" s="2" t="b">
        <f t="shared" ca="1" si="36"/>
        <v>1</v>
      </c>
      <c r="F1261" s="2" cm="1">
        <f t="array" aca="1" ref="F1261" ca="1">IF(G1261&lt;&gt;"",INDIRECT("'"&amp;G1261&amp;"'!"&amp;H1261),"")</f>
        <v>428960</v>
      </c>
      <c r="G1261" s="1582" t="s">
        <v>6961</v>
      </c>
      <c r="H1261" s="2" t="s">
        <v>4878</v>
      </c>
    </row>
    <row r="1262" spans="1:11" x14ac:dyDescent="0.2">
      <c r="A1262">
        <v>1257</v>
      </c>
      <c r="B1262" s="7">
        <f>'EstExp 12-20'!H178</f>
        <v>428960</v>
      </c>
      <c r="C1262" s="3">
        <f t="shared" si="37"/>
        <v>-427703</v>
      </c>
      <c r="E1262" s="2" t="b">
        <f t="shared" ca="1" si="36"/>
        <v>1</v>
      </c>
      <c r="F1262" s="2" cm="1">
        <f t="array" aca="1" ref="F1262" ca="1">IF(G1262&lt;&gt;"",INDIRECT("'"&amp;G1262&amp;"'!"&amp;H1262),"")</f>
        <v>428960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0</v>
      </c>
      <c r="C1270" s="3">
        <f t="shared" si="37"/>
        <v>1265</v>
      </c>
      <c r="E1270" s="2" t="b">
        <f t="shared" ca="1" si="36"/>
        <v>1</v>
      </c>
      <c r="F1270" s="2" cm="1">
        <f t="array" aca="1" ref="F1270" ca="1">IF(G1270&lt;&gt;"",INDIRECT("'"&amp;G1270&amp;"'!"&amp;H1270),"")</f>
        <v>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183960</v>
      </c>
      <c r="C1272" s="3">
        <f t="shared" si="37"/>
        <v>-182693</v>
      </c>
      <c r="E1272" s="2" t="b">
        <f t="shared" ca="1" si="36"/>
        <v>1</v>
      </c>
      <c r="F1272" s="2" cm="1">
        <f t="array" aca="1" ref="F1272" ca="1">IF(G1272&lt;&gt;"",INDIRECT("'"&amp;G1272&amp;"'!"&amp;H1272),"")</f>
        <v>183960</v>
      </c>
      <c r="G1272" s="1582" t="s">
        <v>6961</v>
      </c>
      <c r="H1272" s="2" t="s">
        <v>4884</v>
      </c>
    </row>
    <row r="1273" spans="1:11" x14ac:dyDescent="0.2">
      <c r="A1273">
        <v>1268</v>
      </c>
      <c r="B1273" s="7">
        <f>'EstExp 12-20'!K174</f>
        <v>245000</v>
      </c>
      <c r="C1273" s="3">
        <f t="shared" si="37"/>
        <v>-243732</v>
      </c>
      <c r="E1273" s="2" t="b">
        <f t="shared" ca="1" si="36"/>
        <v>1</v>
      </c>
      <c r="F1273" s="2" cm="1">
        <f t="array" aca="1" ref="F1273" ca="1">IF(G1273&lt;&gt;"",INDIRECT("'"&amp;G1273&amp;"'!"&amp;H1273),"")</f>
        <v>245000</v>
      </c>
      <c r="G1273" s="1582" t="s">
        <v>6961</v>
      </c>
      <c r="H1273" s="2" t="s">
        <v>4885</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6961</v>
      </c>
      <c r="H1274" s="2" t="s">
        <v>4886</v>
      </c>
    </row>
    <row r="1275" spans="1:11" x14ac:dyDescent="0.2">
      <c r="A1275">
        <v>1270</v>
      </c>
      <c r="B1275" s="7">
        <f>'EstExp 12-20'!K176</f>
        <v>428960</v>
      </c>
      <c r="C1275" s="3">
        <f t="shared" si="37"/>
        <v>-427690</v>
      </c>
      <c r="E1275" s="2" t="b">
        <f t="shared" ca="1" si="36"/>
        <v>1</v>
      </c>
      <c r="F1275" s="2" cm="1">
        <f t="array" aca="1" ref="F1275" ca="1">IF(G1275&lt;&gt;"",INDIRECT("'"&amp;G1275&amp;"'!"&amp;H1275),"")</f>
        <v>428960</v>
      </c>
      <c r="G1275" s="1582" t="s">
        <v>6961</v>
      </c>
      <c r="H1275" s="2" t="s">
        <v>4887</v>
      </c>
    </row>
    <row r="1276" spans="1:11" x14ac:dyDescent="0.2">
      <c r="A1276">
        <v>1271</v>
      </c>
      <c r="B1276" s="7">
        <f>'EstExp 12-20'!K178</f>
        <v>428960</v>
      </c>
      <c r="C1276" s="3">
        <f t="shared" si="37"/>
        <v>-427689</v>
      </c>
      <c r="E1276" s="2" t="b">
        <f t="shared" ca="1" si="36"/>
        <v>1</v>
      </c>
      <c r="F1276" s="2" cm="1">
        <f t="array" aca="1" ref="F1276" ca="1">IF(G1276&lt;&gt;"",INDIRECT("'"&amp;G1276&amp;"'!"&amp;H1276),"")</f>
        <v>428960</v>
      </c>
      <c r="G1276" s="1582" t="s">
        <v>6961</v>
      </c>
      <c r="H1276" s="2" t="s">
        <v>4888</v>
      </c>
    </row>
    <row r="1277" spans="1:11" x14ac:dyDescent="0.2">
      <c r="A1277">
        <v>1272</v>
      </c>
      <c r="B1277" s="7">
        <f>'EstExp 12-20'!K179</f>
        <v>24106</v>
      </c>
      <c r="C1277" s="3">
        <f t="shared" si="37"/>
        <v>-22834</v>
      </c>
      <c r="E1277" s="2" t="b">
        <f t="shared" ca="1" si="36"/>
        <v>1</v>
      </c>
      <c r="F1277" s="2" cm="1">
        <f t="array" aca="1" ref="F1277" ca="1">IF(G1277&lt;&gt;"",INDIRECT("'"&amp;G1277&amp;"'!"&amp;H1277),"")</f>
        <v>24106</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193415</v>
      </c>
      <c r="C1279" s="3">
        <f t="shared" si="37"/>
        <v>-192141</v>
      </c>
      <c r="E1279" s="2" t="b">
        <f t="shared" ca="1" si="36"/>
        <v>1</v>
      </c>
      <c r="F1279" s="2" cm="1">
        <f t="array" aca="1" ref="F1279" ca="1">IF(G1279&lt;&gt;"",INDIRECT("'"&amp;G1279&amp;"'!"&amp;H1279),"")</f>
        <v>193415</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193415</v>
      </c>
      <c r="C1283" s="3">
        <f t="shared" si="37"/>
        <v>-192137</v>
      </c>
      <c r="E1283" s="2" t="b">
        <f t="shared" ca="1" si="38"/>
        <v>1</v>
      </c>
      <c r="F1283" s="2" cm="1">
        <f t="array" aca="1" ref="F1283" ca="1">IF(G1283&lt;&gt;"",INDIRECT("'"&amp;G1283&amp;"'!"&amp;H1283),"")</f>
        <v>193415</v>
      </c>
      <c r="G1283" s="1582" t="s">
        <v>6961</v>
      </c>
      <c r="H1283" s="2" t="s">
        <v>4892</v>
      </c>
    </row>
    <row r="1284" spans="1:11" x14ac:dyDescent="0.2">
      <c r="A1284">
        <v>1279</v>
      </c>
      <c r="B1284" s="7">
        <f>'EstExp 12-20'!C214</f>
        <v>193415</v>
      </c>
      <c r="C1284" s="3">
        <f t="shared" si="37"/>
        <v>-192136</v>
      </c>
      <c r="E1284" s="2" t="b">
        <f t="shared" ca="1" si="38"/>
        <v>1</v>
      </c>
      <c r="F1284" s="2" cm="1">
        <f t="array" aca="1" ref="F1284" ca="1">IF(G1284&lt;&gt;"",INDIRECT("'"&amp;G1284&amp;"'!"&amp;H1284),"")</f>
        <v>193415</v>
      </c>
      <c r="G1284" s="1582" t="s">
        <v>6961</v>
      </c>
      <c r="H1284" s="2" t="s">
        <v>4893</v>
      </c>
    </row>
    <row r="1285" spans="1:11" x14ac:dyDescent="0.2">
      <c r="A1285">
        <v>1280</v>
      </c>
      <c r="B1285" s="7">
        <f>'EstExp 12-20'!D186</f>
        <v>17194</v>
      </c>
      <c r="C1285" s="3">
        <f t="shared" si="37"/>
        <v>-15914</v>
      </c>
      <c r="E1285" s="2" t="b">
        <f t="shared" ca="1" si="38"/>
        <v>1</v>
      </c>
      <c r="F1285" s="2" cm="1">
        <f t="array" aca="1" ref="F1285" ca="1">IF(G1285&lt;&gt;"",INDIRECT("'"&amp;G1285&amp;"'!"&amp;H1285),"")</f>
        <v>17194</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17194</v>
      </c>
      <c r="C1289" s="3">
        <f t="shared" si="39"/>
        <v>-15910</v>
      </c>
      <c r="E1289" s="2" t="b">
        <f t="shared" ca="1" si="38"/>
        <v>1</v>
      </c>
      <c r="F1289" s="2" cm="1">
        <f t="array" aca="1" ref="F1289" ca="1">IF(G1289&lt;&gt;"",INDIRECT("'"&amp;G1289&amp;"'!"&amp;H1289),"")</f>
        <v>17194</v>
      </c>
      <c r="G1289" s="1582" t="s">
        <v>6961</v>
      </c>
      <c r="H1289" s="2" t="s">
        <v>4896</v>
      </c>
    </row>
    <row r="1290" spans="1:11" x14ac:dyDescent="0.2">
      <c r="A1290">
        <v>1285</v>
      </c>
      <c r="B1290" s="7">
        <f>'EstExp 12-20'!D214</f>
        <v>17194</v>
      </c>
      <c r="C1290" s="3">
        <f t="shared" si="39"/>
        <v>-15909</v>
      </c>
      <c r="E1290" s="2" t="b">
        <f t="shared" ca="1" si="38"/>
        <v>1</v>
      </c>
      <c r="F1290" s="2" cm="1">
        <f t="array" aca="1" ref="F1290" ca="1">IF(G1290&lt;&gt;"",INDIRECT("'"&amp;G1290&amp;"'!"&amp;H1290),"")</f>
        <v>17194</v>
      </c>
      <c r="G1290" s="1582" t="s">
        <v>6961</v>
      </c>
      <c r="H1290" s="2" t="s">
        <v>4897</v>
      </c>
    </row>
    <row r="1291" spans="1:11" x14ac:dyDescent="0.2">
      <c r="A1291">
        <v>1286</v>
      </c>
      <c r="B1291" s="7">
        <f>'EstExp 12-20'!E186</f>
        <v>416000</v>
      </c>
      <c r="C1291" s="3">
        <f t="shared" si="39"/>
        <v>-414714</v>
      </c>
      <c r="E1291" s="2" t="b">
        <f t="shared" ca="1" si="38"/>
        <v>1</v>
      </c>
      <c r="F1291" s="2" cm="1">
        <f t="array" aca="1" ref="F1291" ca="1">IF(G1291&lt;&gt;"",INDIRECT("'"&amp;G1291&amp;"'!"&amp;H1291),"")</f>
        <v>416000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416000</v>
      </c>
      <c r="C1295" s="3">
        <f t="shared" si="39"/>
        <v>-414710</v>
      </c>
      <c r="E1295" s="2" t="b">
        <f t="shared" ca="1" si="38"/>
        <v>1</v>
      </c>
      <c r="F1295" s="2" cm="1">
        <f t="array" aca="1" ref="F1295" ca="1">IF(G1295&lt;&gt;"",INDIRECT("'"&amp;G1295&amp;"'!"&amp;H1295),"")</f>
        <v>416000</v>
      </c>
      <c r="G1295" s="1582" t="s">
        <v>6961</v>
      </c>
      <c r="H1295" s="2" t="s">
        <v>4900</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x14ac:dyDescent="0.2">
      <c r="A1297">
        <v>1292</v>
      </c>
      <c r="B1297" s="7">
        <f>'EstExp 12-20'!E214</f>
        <v>416000</v>
      </c>
      <c r="C1297" s="3">
        <f t="shared" si="39"/>
        <v>-414708</v>
      </c>
      <c r="E1297" s="2" t="b">
        <f t="shared" ca="1" si="38"/>
        <v>1</v>
      </c>
      <c r="F1297" s="2" cm="1">
        <f t="array" aca="1" ref="F1297" ca="1">IF(G1297&lt;&gt;"",INDIRECT("'"&amp;G1297&amp;"'!"&amp;H1297),"")</f>
        <v>416000</v>
      </c>
      <c r="G1297" s="1582" t="s">
        <v>6961</v>
      </c>
      <c r="H1297" s="2" t="s">
        <v>4902</v>
      </c>
    </row>
    <row r="1298" spans="1:11" x14ac:dyDescent="0.2">
      <c r="A1298">
        <v>1293</v>
      </c>
      <c r="B1298" s="7">
        <f>'EstExp 12-20'!F186</f>
        <v>59500</v>
      </c>
      <c r="C1298" s="3">
        <f t="shared" si="39"/>
        <v>-58207</v>
      </c>
      <c r="E1298" s="2" t="b">
        <f t="shared" ca="1" si="38"/>
        <v>1</v>
      </c>
      <c r="F1298" s="2" cm="1">
        <f t="array" aca="1" ref="F1298" ca="1">IF(G1298&lt;&gt;"",INDIRECT("'"&amp;G1298&amp;"'!"&amp;H1298),"")</f>
        <v>59500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59500</v>
      </c>
      <c r="C1302" s="3">
        <f t="shared" si="39"/>
        <v>-58203</v>
      </c>
      <c r="E1302" s="2" t="b">
        <f t="shared" ca="1" si="38"/>
        <v>1</v>
      </c>
      <c r="F1302" s="2" cm="1">
        <f t="array" aca="1" ref="F1302" ca="1">IF(G1302&lt;&gt;"",INDIRECT("'"&amp;G1302&amp;"'!"&amp;H1302),"")</f>
        <v>59500</v>
      </c>
      <c r="G1302" s="1582" t="s">
        <v>6961</v>
      </c>
      <c r="H1302" s="2" t="s">
        <v>4905</v>
      </c>
    </row>
    <row r="1303" spans="1:11" x14ac:dyDescent="0.2">
      <c r="A1303">
        <v>1298</v>
      </c>
      <c r="B1303" s="7">
        <f>'EstExp 12-20'!F214</f>
        <v>59500</v>
      </c>
      <c r="C1303" s="3">
        <f t="shared" si="39"/>
        <v>-58202</v>
      </c>
      <c r="E1303" s="2" t="b">
        <f t="shared" ca="1" si="38"/>
        <v>1</v>
      </c>
      <c r="F1303" s="2" cm="1">
        <f t="array" aca="1" ref="F1303" ca="1">IF(G1303&lt;&gt;"",INDIRECT("'"&amp;G1303&amp;"'!"&amp;H1303),"")</f>
        <v>59500</v>
      </c>
      <c r="G1303" s="1582" t="s">
        <v>6961</v>
      </c>
      <c r="H1303" s="2" t="s">
        <v>4906</v>
      </c>
    </row>
    <row r="1304" spans="1:11" x14ac:dyDescent="0.2">
      <c r="A1304">
        <v>1299</v>
      </c>
      <c r="B1304" s="7">
        <f>'EstExp 12-20'!G186</f>
        <v>0</v>
      </c>
      <c r="C1304" s="3">
        <f t="shared" si="39"/>
        <v>1299</v>
      </c>
      <c r="E1304" s="2" t="b">
        <f t="shared" ca="1" si="38"/>
        <v>1</v>
      </c>
      <c r="F1304" s="2" cm="1">
        <f t="array" aca="1" ref="F1304" ca="1">IF(G1304&lt;&gt;"",INDIRECT("'"&amp;G1304&amp;"'!"&amp;H1304),"")</f>
        <v>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0</v>
      </c>
      <c r="C1308" s="3">
        <f t="shared" si="39"/>
        <v>1303</v>
      </c>
      <c r="E1308" s="2" t="b">
        <f t="shared" ca="1" si="38"/>
        <v>1</v>
      </c>
      <c r="F1308" s="2" cm="1">
        <f t="array" aca="1" ref="F1308" ca="1">IF(G1308&lt;&gt;"",INDIRECT("'"&amp;G1308&amp;"'!"&amp;H1308),"")</f>
        <v>0</v>
      </c>
      <c r="G1308" s="1582" t="s">
        <v>6961</v>
      </c>
      <c r="H1308" s="2" t="s">
        <v>4909</v>
      </c>
    </row>
    <row r="1309" spans="1:11" x14ac:dyDescent="0.2">
      <c r="A1309">
        <v>1304</v>
      </c>
      <c r="B1309" s="7">
        <f>'EstExp 12-20'!G214</f>
        <v>0</v>
      </c>
      <c r="C1309" s="3">
        <f t="shared" si="39"/>
        <v>1304</v>
      </c>
      <c r="E1309" s="2" t="b">
        <f t="shared" ca="1" si="38"/>
        <v>1</v>
      </c>
      <c r="F1309" s="2" cm="1">
        <f t="array" aca="1" ref="F1309" ca="1">IF(G1309&lt;&gt;"",INDIRECT("'"&amp;G1309&amp;"'!"&amp;H1309),"")</f>
        <v>0</v>
      </c>
      <c r="G1309" s="1582" t="s">
        <v>6961</v>
      </c>
      <c r="H1309" s="2" t="s">
        <v>4910</v>
      </c>
    </row>
    <row r="1310" spans="1:11" x14ac:dyDescent="0.2">
      <c r="A1310">
        <v>1305</v>
      </c>
      <c r="B1310" s="7">
        <f>'EstExp 12-20'!H186</f>
        <v>250</v>
      </c>
      <c r="C1310" s="3">
        <f t="shared" si="39"/>
        <v>1055</v>
      </c>
      <c r="E1310" s="2" t="b">
        <f t="shared" ca="1" si="38"/>
        <v>1</v>
      </c>
      <c r="F1310" s="2" cm="1">
        <f t="array" aca="1" ref="F1310" ca="1">IF(G1310&lt;&gt;"",INDIRECT("'"&amp;G1310&amp;"'!"&amp;H1310),"")</f>
        <v>250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250</v>
      </c>
      <c r="C1314" s="3">
        <f t="shared" si="39"/>
        <v>1059</v>
      </c>
      <c r="E1314" s="2" t="b">
        <f t="shared" ca="1" si="38"/>
        <v>1</v>
      </c>
      <c r="F1314" s="2" cm="1">
        <f t="array" aca="1" ref="F1314" ca="1">IF(G1314&lt;&gt;"",INDIRECT("'"&amp;G1314&amp;"'!"&amp;H1314),"")</f>
        <v>250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82" t="s">
        <v>6961</v>
      </c>
      <c r="H1319" s="2" t="s">
        <v>4917</v>
      </c>
    </row>
    <row r="1320" spans="1:11" x14ac:dyDescent="0.2">
      <c r="A1320">
        <v>1315</v>
      </c>
      <c r="B1320" s="7">
        <f>'EstExp 12-20'!H214</f>
        <v>250</v>
      </c>
      <c r="C1320" s="3">
        <f t="shared" si="39"/>
        <v>1065</v>
      </c>
      <c r="E1320" s="2" t="b">
        <f t="shared" ca="1" si="38"/>
        <v>1</v>
      </c>
      <c r="F1320" s="2" cm="1">
        <f t="array" aca="1" ref="F1320" ca="1">IF(G1320&lt;&gt;"",INDIRECT("'"&amp;G1320&amp;"'!"&amp;H1320),"")</f>
        <v>250</v>
      </c>
      <c r="G1320" s="1582" t="s">
        <v>6961</v>
      </c>
      <c r="H1320" s="2" t="s">
        <v>4918</v>
      </c>
    </row>
    <row r="1321" spans="1:11" x14ac:dyDescent="0.2">
      <c r="A1321">
        <v>1316</v>
      </c>
      <c r="B1321" s="7">
        <f>'EstExp 12-20'!K186</f>
        <v>686359</v>
      </c>
      <c r="C1321" s="3">
        <f t="shared" si="39"/>
        <v>-685043</v>
      </c>
      <c r="E1321" s="2" t="b">
        <f t="shared" ca="1" si="38"/>
        <v>1</v>
      </c>
      <c r="F1321" s="2" cm="1">
        <f t="array" aca="1" ref="F1321" ca="1">IF(G1321&lt;&gt;"",INDIRECT("'"&amp;G1321&amp;"'!"&amp;H1321),"")</f>
        <v>686359</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686359</v>
      </c>
      <c r="C1325" s="3">
        <f t="shared" si="39"/>
        <v>-685039</v>
      </c>
      <c r="E1325" s="2" t="b">
        <f t="shared" ca="1" si="38"/>
        <v>1</v>
      </c>
      <c r="F1325" s="2" cm="1">
        <f t="array" aca="1" ref="F1325" ca="1">IF(G1325&lt;&gt;"",INDIRECT("'"&amp;G1325&amp;"'!"&amp;H1325),"")</f>
        <v>686359</v>
      </c>
      <c r="G1325" s="1582" t="s">
        <v>6961</v>
      </c>
      <c r="H1325" s="2" t="s">
        <v>4921</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82" t="s">
        <v>6961</v>
      </c>
      <c r="H1331" s="2" t="s">
        <v>4926</v>
      </c>
    </row>
    <row r="1332" spans="1:11" x14ac:dyDescent="0.2">
      <c r="A1332">
        <v>1327</v>
      </c>
      <c r="B1332" s="7">
        <f>'EstExp 12-20'!K214</f>
        <v>686359</v>
      </c>
      <c r="C1332" s="3">
        <f t="shared" si="39"/>
        <v>-685032</v>
      </c>
      <c r="E1332" s="2" t="b">
        <f t="shared" ca="1" si="38"/>
        <v>1</v>
      </c>
      <c r="F1332" s="2" cm="1">
        <f t="array" aca="1" ref="F1332" ca="1">IF(G1332&lt;&gt;"",INDIRECT("'"&amp;G1332&amp;"'!"&amp;H1332),"")</f>
        <v>686359</v>
      </c>
      <c r="G1332" s="1582" t="s">
        <v>6961</v>
      </c>
      <c r="H1332" s="2" t="s">
        <v>4927</v>
      </c>
    </row>
    <row r="1333" spans="1:11" x14ac:dyDescent="0.2">
      <c r="A1333">
        <v>1328</v>
      </c>
      <c r="B1333" s="7">
        <f>'EstExp 12-20'!K215</f>
        <v>71415</v>
      </c>
      <c r="C1333" s="3">
        <f t="shared" si="39"/>
        <v>-70087</v>
      </c>
      <c r="E1333" s="2" t="b">
        <f t="shared" ca="1" si="38"/>
        <v>1</v>
      </c>
      <c r="F1333" s="2" cm="1">
        <f t="array" aca="1" ref="F1333" ca="1">IF(G1333&lt;&gt;"",INDIRECT("'"&amp;G1333&amp;"'!"&amp;H1333),"")</f>
        <v>71415</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4619</v>
      </c>
      <c r="C1346" s="3">
        <f t="shared" si="39"/>
        <v>-3278</v>
      </c>
      <c r="E1346" s="2" t="b">
        <f t="shared" ref="E1346:E1409" ca="1" si="40">F1346=B1346</f>
        <v>1</v>
      </c>
      <c r="F1346" s="2" cm="1">
        <f t="array" aca="1" ref="F1346" ca="1">IF(G1346&lt;&gt;"",INDIRECT("'"&amp;G1346&amp;"'!"&amp;H1346),"")</f>
        <v>4619</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x14ac:dyDescent="0.2">
      <c r="A1352">
        <v>1347</v>
      </c>
      <c r="B1352" s="7">
        <f>'EstExp 12-20'!D227</f>
        <v>0</v>
      </c>
      <c r="C1352" s="3">
        <f t="shared" ref="C1352:C1415" si="41">A1352-B1352</f>
        <v>1347</v>
      </c>
      <c r="E1352" s="2" t="b">
        <f t="shared" ca="1" si="40"/>
        <v>1</v>
      </c>
      <c r="F1352" s="2" cm="1">
        <f t="array" aca="1" ref="F1352" ca="1">IF(G1352&lt;&gt;"",INDIRECT("'"&amp;G1352&amp;"'!"&amp;H1352),"")</f>
        <v>0</v>
      </c>
      <c r="G1352" s="1582" t="s">
        <v>6961</v>
      </c>
      <c r="H1352" s="2" t="s">
        <v>4933</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x14ac:dyDescent="0.2">
      <c r="A1354">
        <v>1349</v>
      </c>
      <c r="B1354" s="7">
        <f>'EstExp 12-20'!D233</f>
        <v>92734</v>
      </c>
      <c r="C1354" s="3">
        <f t="shared" si="41"/>
        <v>-91385</v>
      </c>
      <c r="E1354" s="2" t="b">
        <f t="shared" ca="1" si="40"/>
        <v>1</v>
      </c>
      <c r="F1354" s="2" cm="1">
        <f t="array" aca="1" ref="F1354" ca="1">IF(G1354&lt;&gt;"",INDIRECT("'"&amp;G1354&amp;"'!"&amp;H1354),"")</f>
        <v>92734</v>
      </c>
      <c r="G1354" s="1582" t="s">
        <v>6961</v>
      </c>
      <c r="H1354" s="2" t="s">
        <v>4935</v>
      </c>
    </row>
    <row r="1355" spans="1:11" x14ac:dyDescent="0.2">
      <c r="A1355">
        <v>1350</v>
      </c>
      <c r="B1355" s="7">
        <f>'EstExp 12-20'!D236</f>
        <v>1462</v>
      </c>
      <c r="C1355" s="3">
        <f t="shared" si="41"/>
        <v>-112</v>
      </c>
      <c r="E1355" s="2" t="b">
        <f t="shared" ca="1" si="40"/>
        <v>1</v>
      </c>
      <c r="F1355" s="2" cm="1">
        <f t="array" aca="1" ref="F1355" ca="1">IF(G1355&lt;&gt;"",INDIRECT("'"&amp;G1355&amp;"'!"&amp;H1355),"")</f>
        <v>1462</v>
      </c>
      <c r="G1355" s="1582" t="s">
        <v>6961</v>
      </c>
      <c r="H1355" s="2" t="s">
        <v>4936</v>
      </c>
    </row>
    <row r="1356" spans="1:11" x14ac:dyDescent="0.2">
      <c r="A1356">
        <v>1351</v>
      </c>
      <c r="B1356" s="7">
        <f>'EstExp 12-20'!D237</f>
        <v>0</v>
      </c>
      <c r="C1356" s="3">
        <f t="shared" si="41"/>
        <v>1351</v>
      </c>
      <c r="E1356" s="2" t="b">
        <f t="shared" ca="1" si="40"/>
        <v>1</v>
      </c>
      <c r="F1356" s="2" cm="1">
        <f t="array" aca="1" ref="F1356" ca="1">IF(G1356&lt;&gt;"",INDIRECT("'"&amp;G1356&amp;"'!"&amp;H1356),"")</f>
        <v>0</v>
      </c>
      <c r="G1356" s="1582" t="s">
        <v>6961</v>
      </c>
      <c r="H1356" s="2" t="s">
        <v>4937</v>
      </c>
    </row>
    <row r="1357" spans="1:11" x14ac:dyDescent="0.2">
      <c r="A1357">
        <v>1352</v>
      </c>
      <c r="B1357" s="7">
        <f>'EstExp 12-20'!D238</f>
        <v>21169</v>
      </c>
      <c r="C1357" s="3">
        <f t="shared" si="41"/>
        <v>-19817</v>
      </c>
      <c r="E1357" s="2" t="b">
        <f t="shared" ca="1" si="40"/>
        <v>1</v>
      </c>
      <c r="F1357" s="2" cm="1">
        <f t="array" aca="1" ref="F1357" ca="1">IF(G1357&lt;&gt;"",INDIRECT("'"&amp;G1357&amp;"'!"&amp;H1357),"")</f>
        <v>21169</v>
      </c>
      <c r="G1357" s="1582" t="s">
        <v>6961</v>
      </c>
      <c r="H1357" s="2" t="s">
        <v>4938</v>
      </c>
    </row>
    <row r="1358" spans="1:11" x14ac:dyDescent="0.2">
      <c r="A1358">
        <v>1353</v>
      </c>
      <c r="B1358" s="7">
        <f>'EstExp 12-20'!D239</f>
        <v>1257</v>
      </c>
      <c r="C1358" s="3">
        <f t="shared" si="41"/>
        <v>96</v>
      </c>
      <c r="E1358" s="2" t="b">
        <f t="shared" ca="1" si="40"/>
        <v>1</v>
      </c>
      <c r="F1358" s="2" cm="1">
        <f t="array" aca="1" ref="F1358" ca="1">IF(G1358&lt;&gt;"",INDIRECT("'"&amp;G1358&amp;"'!"&amp;H1358),"")</f>
        <v>1257</v>
      </c>
      <c r="G1358" s="1582" t="s">
        <v>6961</v>
      </c>
      <c r="H1358" s="2" t="s">
        <v>4939</v>
      </c>
    </row>
    <row r="1359" spans="1:11" x14ac:dyDescent="0.2">
      <c r="A1359">
        <v>1354</v>
      </c>
      <c r="B1359" s="7">
        <f>'EstExp 12-20'!D240</f>
        <v>959</v>
      </c>
      <c r="C1359" s="3">
        <f t="shared" si="41"/>
        <v>395</v>
      </c>
      <c r="E1359" s="2" t="b">
        <f t="shared" ca="1" si="40"/>
        <v>1</v>
      </c>
      <c r="F1359" s="2" cm="1">
        <f t="array" aca="1" ref="F1359" ca="1">IF(G1359&lt;&gt;"",INDIRECT("'"&amp;G1359&amp;"'!"&amp;H1359),"")</f>
        <v>959</v>
      </c>
      <c r="G1359" s="1582" t="s">
        <v>6961</v>
      </c>
      <c r="H1359" s="2" t="s">
        <v>4940</v>
      </c>
    </row>
    <row r="1360" spans="1:11" x14ac:dyDescent="0.2">
      <c r="A1360">
        <v>1355</v>
      </c>
      <c r="B1360" s="7">
        <f>'EstExp 12-20'!D241</f>
        <v>7247</v>
      </c>
      <c r="C1360" s="3">
        <f t="shared" si="41"/>
        <v>-5892</v>
      </c>
      <c r="E1360" s="2" t="b">
        <f t="shared" ca="1" si="40"/>
        <v>1</v>
      </c>
      <c r="F1360" s="2" cm="1">
        <f t="array" aca="1" ref="F1360" ca="1">IF(G1360&lt;&gt;"",INDIRECT("'"&amp;G1360&amp;"'!"&amp;H1360),"")</f>
        <v>7247</v>
      </c>
      <c r="G1360" s="1582" t="s">
        <v>6961</v>
      </c>
      <c r="H1360" s="2" t="s">
        <v>4941</v>
      </c>
    </row>
    <row r="1361" spans="1:8" x14ac:dyDescent="0.2">
      <c r="A1361">
        <v>1356</v>
      </c>
      <c r="B1361" s="7">
        <f>'EstExp 12-20'!D242</f>
        <v>32094</v>
      </c>
      <c r="C1361" s="3">
        <f t="shared" si="41"/>
        <v>-30738</v>
      </c>
      <c r="E1361" s="2" t="b">
        <f t="shared" ca="1" si="40"/>
        <v>1</v>
      </c>
      <c r="F1361" s="2" cm="1">
        <f t="array" aca="1" ref="F1361" ca="1">IF(G1361&lt;&gt;"",INDIRECT("'"&amp;G1361&amp;"'!"&amp;H1361),"")</f>
        <v>32094</v>
      </c>
      <c r="G1361" s="1582" t="s">
        <v>6961</v>
      </c>
      <c r="H1361" s="2" t="s">
        <v>4942</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x14ac:dyDescent="0.2">
      <c r="A1367">
        <v>1362</v>
      </c>
      <c r="B1367" s="7">
        <f>'EstExp 12-20'!D250</f>
        <v>20477</v>
      </c>
      <c r="C1367" s="3">
        <f t="shared" si="41"/>
        <v>-19115</v>
      </c>
      <c r="E1367" s="2" t="b">
        <f t="shared" ca="1" si="40"/>
        <v>1</v>
      </c>
      <c r="F1367" s="2" cm="1">
        <f t="array" aca="1" ref="F1367" ca="1">IF(G1367&lt;&gt;"",INDIRECT("'"&amp;G1367&amp;"'!"&amp;H1367),"")</f>
        <v>20477</v>
      </c>
      <c r="G1367" s="1582" t="s">
        <v>6961</v>
      </c>
      <c r="H1367" s="2" t="s">
        <v>4948</v>
      </c>
    </row>
    <row r="1368" spans="1:8" x14ac:dyDescent="0.2">
      <c r="A1368">
        <v>1363</v>
      </c>
      <c r="B1368" s="7">
        <f>'EstExp 12-20'!D254</f>
        <v>25593</v>
      </c>
      <c r="C1368" s="3">
        <f t="shared" si="41"/>
        <v>-24230</v>
      </c>
      <c r="E1368" s="2" t="b">
        <f t="shared" ca="1" si="40"/>
        <v>1</v>
      </c>
      <c r="F1368" s="2" cm="1">
        <f t="array" aca="1" ref="F1368" ca="1">IF(G1368&lt;&gt;"",INDIRECT("'"&amp;G1368&amp;"'!"&amp;H1368),"")</f>
        <v>25593</v>
      </c>
      <c r="G1368" s="1582" t="s">
        <v>6961</v>
      </c>
      <c r="H1368" s="2" t="s">
        <v>4949</v>
      </c>
    </row>
    <row r="1369" spans="1:8" x14ac:dyDescent="0.2">
      <c r="A1369">
        <v>1364</v>
      </c>
      <c r="B1369" s="7">
        <f>'EstExp 12-20'!D256</f>
        <v>19118</v>
      </c>
      <c r="C1369" s="3">
        <f t="shared" si="41"/>
        <v>-17754</v>
      </c>
      <c r="E1369" s="2" t="b">
        <f t="shared" ca="1" si="40"/>
        <v>1</v>
      </c>
      <c r="F1369" s="2" cm="1">
        <f t="array" aca="1" ref="F1369" ca="1">IF(G1369&lt;&gt;"",INDIRECT("'"&amp;G1369&amp;"'!"&amp;H1369),"")</f>
        <v>19118</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19118</v>
      </c>
      <c r="C1371" s="3">
        <f t="shared" si="41"/>
        <v>-17752</v>
      </c>
      <c r="E1371" s="2" t="b">
        <f t="shared" ca="1" si="40"/>
        <v>1</v>
      </c>
      <c r="F1371" s="2" cm="1">
        <f t="array" aca="1" ref="F1371" ca="1">IF(G1371&lt;&gt;"",INDIRECT("'"&amp;G1371&amp;"'!"&amp;H1371),"")</f>
        <v>19118</v>
      </c>
      <c r="G1371" s="1582" t="s">
        <v>6961</v>
      </c>
      <c r="H1371" s="2" t="s">
        <v>4952</v>
      </c>
    </row>
    <row r="1372" spans="1:8" x14ac:dyDescent="0.2">
      <c r="A1372">
        <v>1367</v>
      </c>
      <c r="B1372" s="7">
        <f>'EstExp 12-20'!D260</f>
        <v>2026</v>
      </c>
      <c r="C1372" s="3">
        <f t="shared" si="41"/>
        <v>-659</v>
      </c>
      <c r="E1372" s="2" t="b">
        <f t="shared" ca="1" si="40"/>
        <v>1</v>
      </c>
      <c r="F1372" s="2" cm="1">
        <f t="array" aca="1" ref="F1372" ca="1">IF(G1372&lt;&gt;"",INDIRECT("'"&amp;G1372&amp;"'!"&amp;H1372),"")</f>
        <v>2026</v>
      </c>
      <c r="G1372" s="1582" t="s">
        <v>6961</v>
      </c>
      <c r="H1372" s="2" t="s">
        <v>4953</v>
      </c>
    </row>
    <row r="1373" spans="1:8" x14ac:dyDescent="0.2">
      <c r="A1373">
        <v>1368</v>
      </c>
      <c r="B1373" s="7">
        <f>'EstExp 12-20'!D261</f>
        <v>13379</v>
      </c>
      <c r="C1373" s="3">
        <f t="shared" si="41"/>
        <v>-12011</v>
      </c>
      <c r="E1373" s="2" t="b">
        <f t="shared" ca="1" si="40"/>
        <v>1</v>
      </c>
      <c r="F1373" s="2" cm="1">
        <f t="array" aca="1" ref="F1373" ca="1">IF(G1373&lt;&gt;"",INDIRECT("'"&amp;G1373&amp;"'!"&amp;H1373),"")</f>
        <v>13379</v>
      </c>
      <c r="G1373" s="1582" t="s">
        <v>6961</v>
      </c>
      <c r="H1373" s="2" t="s">
        <v>4954</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6961</v>
      </c>
      <c r="H1374" s="2" t="s">
        <v>4955</v>
      </c>
    </row>
    <row r="1375" spans="1:8" x14ac:dyDescent="0.2">
      <c r="A1375">
        <v>1370</v>
      </c>
      <c r="B1375" s="7">
        <f>'EstExp 12-20'!D263</f>
        <v>39301</v>
      </c>
      <c r="C1375" s="3">
        <f t="shared" si="41"/>
        <v>-37931</v>
      </c>
      <c r="E1375" s="2" t="b">
        <f t="shared" ca="1" si="40"/>
        <v>1</v>
      </c>
      <c r="F1375" s="2" cm="1">
        <f t="array" aca="1" ref="F1375" ca="1">IF(G1375&lt;&gt;"",INDIRECT("'"&amp;G1375&amp;"'!"&amp;H1375),"")</f>
        <v>39301</v>
      </c>
      <c r="G1375" s="1582" t="s">
        <v>6961</v>
      </c>
      <c r="H1375" s="2" t="s">
        <v>4956</v>
      </c>
    </row>
    <row r="1376" spans="1:8" x14ac:dyDescent="0.2">
      <c r="A1376">
        <v>1371</v>
      </c>
      <c r="B1376" s="7">
        <f>'EstExp 12-20'!D264</f>
        <v>32838</v>
      </c>
      <c r="C1376" s="3">
        <f t="shared" si="41"/>
        <v>-31467</v>
      </c>
      <c r="E1376" s="2" t="b">
        <f t="shared" ca="1" si="40"/>
        <v>1</v>
      </c>
      <c r="F1376" s="2" cm="1">
        <f t="array" aca="1" ref="F1376" ca="1">IF(G1376&lt;&gt;"",INDIRECT("'"&amp;G1376&amp;"'!"&amp;H1376),"")</f>
        <v>32838</v>
      </c>
      <c r="G1376" s="1582" t="s">
        <v>6961</v>
      </c>
      <c r="H1376" s="2" t="s">
        <v>4957</v>
      </c>
    </row>
    <row r="1377" spans="1:11" x14ac:dyDescent="0.2">
      <c r="A1377">
        <v>1372</v>
      </c>
      <c r="B1377" s="7">
        <f>'EstExp 12-20'!D265</f>
        <v>10924</v>
      </c>
      <c r="C1377" s="3">
        <f t="shared" si="41"/>
        <v>-9552</v>
      </c>
      <c r="E1377" s="2" t="b">
        <f t="shared" ca="1" si="40"/>
        <v>1</v>
      </c>
      <c r="F1377" s="2" cm="1">
        <f t="array" aca="1" ref="F1377" ca="1">IF(G1377&lt;&gt;"",INDIRECT("'"&amp;G1377&amp;"'!"&amp;H1377),"")</f>
        <v>10924</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98468</v>
      </c>
      <c r="C1380" s="3">
        <f t="shared" si="41"/>
        <v>-97093</v>
      </c>
      <c r="E1380" s="2" t="b">
        <f t="shared" ca="1" si="40"/>
        <v>1</v>
      </c>
      <c r="F1380" s="2" cm="1">
        <f t="array" aca="1" ref="F1380" ca="1">IF(G1380&lt;&gt;"",INDIRECT("'"&amp;G1380&amp;"'!"&amp;H1380),"")</f>
        <v>98468</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20322</v>
      </c>
      <c r="C1386" s="3">
        <f t="shared" si="41"/>
        <v>-18941</v>
      </c>
      <c r="E1386" s="2" t="b">
        <f t="shared" ca="1" si="40"/>
        <v>1</v>
      </c>
      <c r="F1386" s="2" cm="1">
        <f t="array" aca="1" ref="F1386" ca="1">IF(G1386&lt;&gt;"",INDIRECT("'"&amp;G1386&amp;"'!"&amp;H1386),"")</f>
        <v>20322</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20322</v>
      </c>
      <c r="C1388" s="3">
        <f t="shared" si="41"/>
        <v>-18939</v>
      </c>
      <c r="E1388" s="2" t="b">
        <f t="shared" ca="1" si="40"/>
        <v>1</v>
      </c>
      <c r="F1388" s="2" cm="1">
        <f t="array" aca="1" ref="F1388" ca="1">IF(G1388&lt;&gt;"",INDIRECT("'"&amp;G1388&amp;"'!"&amp;H1388),"")</f>
        <v>20322</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195595</v>
      </c>
      <c r="C1390" s="3">
        <f t="shared" si="41"/>
        <v>-194210</v>
      </c>
      <c r="E1390" s="2" t="b">
        <f t="shared" ca="1" si="40"/>
        <v>1</v>
      </c>
      <c r="F1390" s="2" cm="1">
        <f t="array" aca="1" ref="F1390" ca="1">IF(G1390&lt;&gt;"",INDIRECT("'"&amp;G1390&amp;"'!"&amp;H1390),"")</f>
        <v>195595</v>
      </c>
      <c r="G1390" s="1582" t="s">
        <v>6961</v>
      </c>
      <c r="H1390" s="2" t="s">
        <v>4968</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x14ac:dyDescent="0.2">
      <c r="A1392">
        <v>1387</v>
      </c>
      <c r="B1392" s="7">
        <f>'EstExp 12-20'!D292</f>
        <v>288329</v>
      </c>
      <c r="C1392" s="3">
        <f t="shared" si="41"/>
        <v>-286942</v>
      </c>
      <c r="E1392" s="2" t="b">
        <f t="shared" ca="1" si="40"/>
        <v>1</v>
      </c>
      <c r="F1392" s="2" cm="1">
        <f t="array" aca="1" ref="F1392" ca="1">IF(G1392&lt;&gt;"",INDIRECT("'"&amp;G1392&amp;"'!"&amp;H1392),"")</f>
        <v>288329</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4619</v>
      </c>
      <c r="C1410" s="3">
        <f t="shared" si="41"/>
        <v>-3214</v>
      </c>
      <c r="E1410" s="2" t="b">
        <f t="shared" ref="E1410:E1473" ca="1" si="42">F1410=B1410</f>
        <v>1</v>
      </c>
      <c r="F1410" s="2" cm="1">
        <f t="array" aca="1" ref="F1410" ca="1">IF(G1410&lt;&gt;"",INDIRECT("'"&amp;G1410&amp;"'!"&amp;H1410),"")</f>
        <v>4619</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x14ac:dyDescent="0.2">
      <c r="A1416">
        <v>1411</v>
      </c>
      <c r="B1416" s="7">
        <f>'EstExp 12-20'!K227</f>
        <v>0</v>
      </c>
      <c r="C1416" s="3">
        <f t="shared" ref="C1416:C1479" si="43">A1416-B1416</f>
        <v>1411</v>
      </c>
      <c r="E1416" s="2" t="b">
        <f t="shared" ca="1" si="42"/>
        <v>1</v>
      </c>
      <c r="F1416" s="2" cm="1">
        <f t="array" aca="1" ref="F1416" ca="1">IF(G1416&lt;&gt;"",INDIRECT("'"&amp;G1416&amp;"'!"&amp;H1416),"")</f>
        <v>0</v>
      </c>
      <c r="G1416" s="1582" t="s">
        <v>6961</v>
      </c>
      <c r="H1416" s="2" t="s">
        <v>4980</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x14ac:dyDescent="0.2">
      <c r="A1418">
        <v>1413</v>
      </c>
      <c r="B1418" s="7">
        <f>'EstExp 12-20'!K233</f>
        <v>92734</v>
      </c>
      <c r="C1418" s="3">
        <f t="shared" si="43"/>
        <v>-91321</v>
      </c>
      <c r="E1418" s="2" t="b">
        <f t="shared" ca="1" si="42"/>
        <v>1</v>
      </c>
      <c r="F1418" s="2" cm="1">
        <f t="array" aca="1" ref="F1418" ca="1">IF(G1418&lt;&gt;"",INDIRECT("'"&amp;G1418&amp;"'!"&amp;H1418),"")</f>
        <v>92734</v>
      </c>
      <c r="G1418" s="1582" t="s">
        <v>6961</v>
      </c>
      <c r="H1418" s="2" t="s">
        <v>4982</v>
      </c>
    </row>
    <row r="1419" spans="1:11" x14ac:dyDescent="0.2">
      <c r="A1419">
        <v>1414</v>
      </c>
      <c r="B1419" s="7">
        <f>'EstExp 12-20'!K236</f>
        <v>1462</v>
      </c>
      <c r="C1419" s="3">
        <f t="shared" si="43"/>
        <v>-48</v>
      </c>
      <c r="E1419" s="2" t="b">
        <f t="shared" ca="1" si="42"/>
        <v>1</v>
      </c>
      <c r="F1419" s="2" cm="1">
        <f t="array" aca="1" ref="F1419" ca="1">IF(G1419&lt;&gt;"",INDIRECT("'"&amp;G1419&amp;"'!"&amp;H1419),"")</f>
        <v>1462</v>
      </c>
      <c r="G1419" s="1582" t="s">
        <v>6961</v>
      </c>
      <c r="H1419" s="2" t="s">
        <v>4983</v>
      </c>
    </row>
    <row r="1420" spans="1:11" x14ac:dyDescent="0.2">
      <c r="A1420">
        <v>1415</v>
      </c>
      <c r="B1420" s="7">
        <f>'EstExp 12-20'!K237</f>
        <v>0</v>
      </c>
      <c r="C1420" s="3">
        <f t="shared" si="43"/>
        <v>1415</v>
      </c>
      <c r="E1420" s="2" t="b">
        <f t="shared" ca="1" si="42"/>
        <v>1</v>
      </c>
      <c r="F1420" s="2" cm="1">
        <f t="array" aca="1" ref="F1420" ca="1">IF(G1420&lt;&gt;"",INDIRECT("'"&amp;G1420&amp;"'!"&amp;H1420),"")</f>
        <v>0</v>
      </c>
      <c r="G1420" s="1582" t="s">
        <v>6961</v>
      </c>
      <c r="H1420" s="2" t="s">
        <v>4984</v>
      </c>
    </row>
    <row r="1421" spans="1:11" x14ac:dyDescent="0.2">
      <c r="A1421">
        <v>1416</v>
      </c>
      <c r="B1421" s="7">
        <f>'EstExp 12-20'!K238</f>
        <v>21169</v>
      </c>
      <c r="C1421" s="3">
        <f t="shared" si="43"/>
        <v>-19753</v>
      </c>
      <c r="E1421" s="2" t="b">
        <f t="shared" ca="1" si="42"/>
        <v>1</v>
      </c>
      <c r="F1421" s="2" cm="1">
        <f t="array" aca="1" ref="F1421" ca="1">IF(G1421&lt;&gt;"",INDIRECT("'"&amp;G1421&amp;"'!"&amp;H1421),"")</f>
        <v>21169</v>
      </c>
      <c r="G1421" s="1582" t="s">
        <v>6961</v>
      </c>
      <c r="H1421" s="2" t="s">
        <v>4985</v>
      </c>
    </row>
    <row r="1422" spans="1:11" x14ac:dyDescent="0.2">
      <c r="A1422">
        <v>1417</v>
      </c>
      <c r="B1422" s="7">
        <f>'EstExp 12-20'!K239</f>
        <v>1257</v>
      </c>
      <c r="C1422" s="3">
        <f t="shared" si="43"/>
        <v>160</v>
      </c>
      <c r="E1422" s="2" t="b">
        <f t="shared" ca="1" si="42"/>
        <v>1</v>
      </c>
      <c r="F1422" s="2" cm="1">
        <f t="array" aca="1" ref="F1422" ca="1">IF(G1422&lt;&gt;"",INDIRECT("'"&amp;G1422&amp;"'!"&amp;H1422),"")</f>
        <v>1257</v>
      </c>
      <c r="G1422" s="1582" t="s">
        <v>6961</v>
      </c>
      <c r="H1422" s="2" t="s">
        <v>4986</v>
      </c>
    </row>
    <row r="1423" spans="1:11" x14ac:dyDescent="0.2">
      <c r="A1423">
        <v>1418</v>
      </c>
      <c r="B1423" s="7">
        <f>'EstExp 12-20'!K240</f>
        <v>959</v>
      </c>
      <c r="C1423" s="3">
        <f t="shared" si="43"/>
        <v>459</v>
      </c>
      <c r="E1423" s="2" t="b">
        <f t="shared" ca="1" si="42"/>
        <v>1</v>
      </c>
      <c r="F1423" s="2" cm="1">
        <f t="array" aca="1" ref="F1423" ca="1">IF(G1423&lt;&gt;"",INDIRECT("'"&amp;G1423&amp;"'!"&amp;H1423),"")</f>
        <v>959</v>
      </c>
      <c r="G1423" s="1582" t="s">
        <v>6961</v>
      </c>
      <c r="H1423" s="2" t="s">
        <v>4987</v>
      </c>
    </row>
    <row r="1424" spans="1:11" x14ac:dyDescent="0.2">
      <c r="A1424">
        <v>1419</v>
      </c>
      <c r="B1424" s="7">
        <f>'EstExp 12-20'!K241</f>
        <v>7247</v>
      </c>
      <c r="C1424" s="3">
        <f t="shared" si="43"/>
        <v>-5828</v>
      </c>
      <c r="E1424" s="2" t="b">
        <f t="shared" ca="1" si="42"/>
        <v>1</v>
      </c>
      <c r="F1424" s="2" cm="1">
        <f t="array" aca="1" ref="F1424" ca="1">IF(G1424&lt;&gt;"",INDIRECT("'"&amp;G1424&amp;"'!"&amp;H1424),"")</f>
        <v>7247</v>
      </c>
      <c r="G1424" s="1582" t="s">
        <v>6961</v>
      </c>
      <c r="H1424" s="2" t="s">
        <v>4988</v>
      </c>
    </row>
    <row r="1425" spans="1:8" x14ac:dyDescent="0.2">
      <c r="A1425">
        <v>1420</v>
      </c>
      <c r="B1425" s="7">
        <f>'EstExp 12-20'!K242</f>
        <v>32094</v>
      </c>
      <c r="C1425" s="3">
        <f t="shared" si="43"/>
        <v>-30674</v>
      </c>
      <c r="E1425" s="2" t="b">
        <f t="shared" ca="1" si="42"/>
        <v>1</v>
      </c>
      <c r="F1425" s="2" cm="1">
        <f t="array" aca="1" ref="F1425" ca="1">IF(G1425&lt;&gt;"",INDIRECT("'"&amp;G1425&amp;"'!"&amp;H1425),"")</f>
        <v>32094</v>
      </c>
      <c r="G1425" s="1582" t="s">
        <v>6961</v>
      </c>
      <c r="H1425" s="2" t="s">
        <v>4989</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x14ac:dyDescent="0.2">
      <c r="A1431">
        <v>1426</v>
      </c>
      <c r="B1431" s="7">
        <f>'EstExp 12-20'!K250</f>
        <v>20477</v>
      </c>
      <c r="C1431" s="3">
        <f t="shared" si="43"/>
        <v>-19051</v>
      </c>
      <c r="E1431" s="2" t="b">
        <f t="shared" ca="1" si="42"/>
        <v>1</v>
      </c>
      <c r="F1431" s="2" cm="1">
        <f t="array" aca="1" ref="F1431" ca="1">IF(G1431&lt;&gt;"",INDIRECT("'"&amp;G1431&amp;"'!"&amp;H1431),"")</f>
        <v>20477</v>
      </c>
      <c r="G1431" s="1582" t="s">
        <v>6961</v>
      </c>
      <c r="H1431" s="2" t="s">
        <v>4995</v>
      </c>
    </row>
    <row r="1432" spans="1:8" x14ac:dyDescent="0.2">
      <c r="A1432">
        <v>1427</v>
      </c>
      <c r="B1432" s="7">
        <f>'EstExp 12-20'!K254</f>
        <v>25593</v>
      </c>
      <c r="C1432" s="3">
        <f t="shared" si="43"/>
        <v>-24166</v>
      </c>
      <c r="E1432" s="2" t="b">
        <f t="shared" ca="1" si="42"/>
        <v>1</v>
      </c>
      <c r="F1432" s="2" cm="1">
        <f t="array" aca="1" ref="F1432" ca="1">IF(G1432&lt;&gt;"",INDIRECT("'"&amp;G1432&amp;"'!"&amp;H1432),"")</f>
        <v>25593</v>
      </c>
      <c r="G1432" s="1582" t="s">
        <v>6961</v>
      </c>
      <c r="H1432" s="2" t="s">
        <v>4996</v>
      </c>
    </row>
    <row r="1433" spans="1:8" x14ac:dyDescent="0.2">
      <c r="A1433">
        <v>1428</v>
      </c>
      <c r="B1433" s="7">
        <f>'EstExp 12-20'!K256</f>
        <v>19118</v>
      </c>
      <c r="C1433" s="3">
        <f t="shared" si="43"/>
        <v>-17690</v>
      </c>
      <c r="E1433" s="2" t="b">
        <f t="shared" ca="1" si="42"/>
        <v>1</v>
      </c>
      <c r="F1433" s="2" cm="1">
        <f t="array" aca="1" ref="F1433" ca="1">IF(G1433&lt;&gt;"",INDIRECT("'"&amp;G1433&amp;"'!"&amp;H1433),"")</f>
        <v>19118</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19118</v>
      </c>
      <c r="C1435" s="3">
        <f t="shared" si="43"/>
        <v>-17688</v>
      </c>
      <c r="E1435" s="2" t="b">
        <f t="shared" ca="1" si="42"/>
        <v>1</v>
      </c>
      <c r="F1435" s="2" cm="1">
        <f t="array" aca="1" ref="F1435" ca="1">IF(G1435&lt;&gt;"",INDIRECT("'"&amp;G1435&amp;"'!"&amp;H1435),"")</f>
        <v>19118</v>
      </c>
      <c r="G1435" s="1582" t="s">
        <v>6961</v>
      </c>
      <c r="H1435" s="2" t="s">
        <v>4999</v>
      </c>
    </row>
    <row r="1436" spans="1:8" x14ac:dyDescent="0.2">
      <c r="A1436">
        <v>1431</v>
      </c>
      <c r="B1436" s="7">
        <f>'EstExp 12-20'!K260</f>
        <v>2026</v>
      </c>
      <c r="C1436" s="3">
        <f t="shared" si="43"/>
        <v>-595</v>
      </c>
      <c r="E1436" s="2" t="b">
        <f t="shared" ca="1" si="42"/>
        <v>1</v>
      </c>
      <c r="F1436" s="2" cm="1">
        <f t="array" aca="1" ref="F1436" ca="1">IF(G1436&lt;&gt;"",INDIRECT("'"&amp;G1436&amp;"'!"&amp;H1436),"")</f>
        <v>2026</v>
      </c>
      <c r="G1436" s="1582" t="s">
        <v>6961</v>
      </c>
      <c r="H1436" s="2" t="s">
        <v>5000</v>
      </c>
    </row>
    <row r="1437" spans="1:8" x14ac:dyDescent="0.2">
      <c r="A1437">
        <v>1432</v>
      </c>
      <c r="B1437" s="7">
        <f>'EstExp 12-20'!K261</f>
        <v>13379</v>
      </c>
      <c r="C1437" s="3">
        <f t="shared" si="43"/>
        <v>-11947</v>
      </c>
      <c r="E1437" s="2" t="b">
        <f t="shared" ca="1" si="42"/>
        <v>1</v>
      </c>
      <c r="F1437" s="2" cm="1">
        <f t="array" aca="1" ref="F1437" ca="1">IF(G1437&lt;&gt;"",INDIRECT("'"&amp;G1437&amp;"'!"&amp;H1437),"")</f>
        <v>13379</v>
      </c>
      <c r="G1437" s="1582" t="s">
        <v>6961</v>
      </c>
      <c r="H1437" s="2" t="s">
        <v>5001</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x14ac:dyDescent="0.2">
      <c r="A1439">
        <v>1434</v>
      </c>
      <c r="B1439" s="7">
        <f>'EstExp 12-20'!K263</f>
        <v>39301</v>
      </c>
      <c r="C1439" s="3">
        <f t="shared" si="43"/>
        <v>-37867</v>
      </c>
      <c r="E1439" s="2" t="b">
        <f t="shared" ca="1" si="42"/>
        <v>1</v>
      </c>
      <c r="F1439" s="2" cm="1">
        <f t="array" aca="1" ref="F1439" ca="1">IF(G1439&lt;&gt;"",INDIRECT("'"&amp;G1439&amp;"'!"&amp;H1439),"")</f>
        <v>39301</v>
      </c>
      <c r="G1439" s="1582" t="s">
        <v>6961</v>
      </c>
      <c r="H1439" s="2" t="s">
        <v>5003</v>
      </c>
    </row>
    <row r="1440" spans="1:8" x14ac:dyDescent="0.2">
      <c r="A1440">
        <v>1435</v>
      </c>
      <c r="B1440" s="7">
        <f>'EstExp 12-20'!K264</f>
        <v>32838</v>
      </c>
      <c r="C1440" s="3">
        <f t="shared" si="43"/>
        <v>-31403</v>
      </c>
      <c r="E1440" s="2" t="b">
        <f t="shared" ca="1" si="42"/>
        <v>1</v>
      </c>
      <c r="F1440" s="2" cm="1">
        <f t="array" aca="1" ref="F1440" ca="1">IF(G1440&lt;&gt;"",INDIRECT("'"&amp;G1440&amp;"'!"&amp;H1440),"")</f>
        <v>32838</v>
      </c>
      <c r="G1440" s="1582" t="s">
        <v>6961</v>
      </c>
      <c r="H1440" s="2" t="s">
        <v>5004</v>
      </c>
    </row>
    <row r="1441" spans="1:11" x14ac:dyDescent="0.2">
      <c r="A1441">
        <v>1436</v>
      </c>
      <c r="B1441" s="7">
        <f>'EstExp 12-20'!K265</f>
        <v>10924</v>
      </c>
      <c r="C1441" s="3">
        <f t="shared" si="43"/>
        <v>-9488</v>
      </c>
      <c r="E1441" s="2" t="b">
        <f t="shared" ca="1" si="42"/>
        <v>1</v>
      </c>
      <c r="F1441" s="2" cm="1">
        <f t="array" aca="1" ref="F1441" ca="1">IF(G1441&lt;&gt;"",INDIRECT("'"&amp;G1441&amp;"'!"&amp;H1441),"")</f>
        <v>10924</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98468</v>
      </c>
      <c r="C1444" s="3">
        <f t="shared" si="43"/>
        <v>-97029</v>
      </c>
      <c r="E1444" s="2" t="b">
        <f t="shared" ca="1" si="42"/>
        <v>1</v>
      </c>
      <c r="F1444" s="2" cm="1">
        <f t="array" aca="1" ref="F1444" ca="1">IF(G1444&lt;&gt;"",INDIRECT("'"&amp;G1444&amp;"'!"&amp;H1444),"")</f>
        <v>98468</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20322</v>
      </c>
      <c r="C1450" s="3">
        <f t="shared" si="43"/>
        <v>-18877</v>
      </c>
      <c r="E1450" s="2" t="b">
        <f t="shared" ca="1" si="42"/>
        <v>1</v>
      </c>
      <c r="F1450" s="2" cm="1">
        <f t="array" aca="1" ref="F1450" ca="1">IF(G1450&lt;&gt;"",INDIRECT("'"&amp;G1450&amp;"'!"&amp;H1450),"")</f>
        <v>20322</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20322</v>
      </c>
      <c r="C1452" s="3">
        <f t="shared" si="43"/>
        <v>-18875</v>
      </c>
      <c r="E1452" s="2" t="b">
        <f t="shared" ca="1" si="42"/>
        <v>1</v>
      </c>
      <c r="F1452" s="2" cm="1">
        <f t="array" aca="1" ref="F1452" ca="1">IF(G1452&lt;&gt;"",INDIRECT("'"&amp;G1452&amp;"'!"&amp;H1452),"")</f>
        <v>20322</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195595</v>
      </c>
      <c r="C1454" s="3">
        <f t="shared" si="43"/>
        <v>-194146</v>
      </c>
      <c r="E1454" s="2" t="b">
        <f t="shared" ca="1" si="42"/>
        <v>1</v>
      </c>
      <c r="F1454" s="2" cm="1">
        <f t="array" aca="1" ref="F1454" ca="1">IF(G1454&lt;&gt;"",INDIRECT("'"&amp;G1454&amp;"'!"&amp;H1454),"")</f>
        <v>195595</v>
      </c>
      <c r="G1454" s="1582" t="s">
        <v>6961</v>
      </c>
      <c r="H1454" s="2" t="s">
        <v>5015</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288329</v>
      </c>
      <c r="C1461" s="3">
        <f t="shared" si="43"/>
        <v>-286873</v>
      </c>
      <c r="E1461" s="2" t="b">
        <f t="shared" ca="1" si="42"/>
        <v>1</v>
      </c>
      <c r="F1461" s="2" cm="1">
        <f t="array" aca="1" ref="F1461" ca="1">IF(G1461&lt;&gt;"",INDIRECT("'"&amp;G1461&amp;"'!"&amp;H1461),"")</f>
        <v>288329</v>
      </c>
      <c r="G1461" s="1582" t="s">
        <v>6961</v>
      </c>
      <c r="H1461" s="2" t="s">
        <v>5021</v>
      </c>
    </row>
    <row r="1462" spans="1:11" x14ac:dyDescent="0.2">
      <c r="A1462">
        <v>1457</v>
      </c>
      <c r="B1462" s="7">
        <f>'EstExp 12-20'!K293</f>
        <v>67731</v>
      </c>
      <c r="C1462" s="3">
        <f t="shared" si="43"/>
        <v>-66274</v>
      </c>
      <c r="E1462" s="2" t="b">
        <f t="shared" ca="1" si="42"/>
        <v>1</v>
      </c>
      <c r="F1462" s="2" cm="1">
        <f t="array" aca="1" ref="F1462" ca="1">IF(G1462&lt;&gt;"",INDIRECT("'"&amp;G1462&amp;"'!"&amp;H1462),"")</f>
        <v>67731</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6961</v>
      </c>
      <c r="H1491" s="2" t="s">
        <v>5041</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6961</v>
      </c>
      <c r="H1503" s="2" t="s">
        <v>5049</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6961</v>
      </c>
      <c r="H1504" s="2" t="s">
        <v>5050</v>
      </c>
    </row>
    <row r="1505" spans="1:11" x14ac:dyDescent="0.2">
      <c r="A1505">
        <v>1500</v>
      </c>
      <c r="B1505" s="7">
        <f>'EstExp 12-20'!K310</f>
        <v>0</v>
      </c>
      <c r="C1505" s="3">
        <f t="shared" si="45"/>
        <v>1500</v>
      </c>
      <c r="E1505" s="2" t="b">
        <f t="shared" ca="1" si="44"/>
        <v>1</v>
      </c>
      <c r="F1505" s="2" cm="1">
        <f t="array" aca="1" ref="F1505" ca="1">IF(G1505&lt;&gt;"",INDIRECT("'"&amp;G1505&amp;"'!"&amp;H1505),"")</f>
        <v>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4982190</v>
      </c>
      <c r="C1561" s="3">
        <f t="shared" ref="C1561:C1603" si="47">A1561-B1561</f>
        <v>-4980634</v>
      </c>
      <c r="E1561" s="2" t="b">
        <f t="shared" ca="1" si="46"/>
        <v>1</v>
      </c>
      <c r="F1561" s="2" cm="1">
        <f t="array" aca="1" ref="F1561" ca="1">IF(G1561&lt;&gt;"",INDIRECT("'"&amp;G1561&amp;"'!"&amp;H1561),"")</f>
        <v>4982190</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5096295</v>
      </c>
      <c r="C1574" s="3">
        <f t="shared" si="47"/>
        <v>-5094726</v>
      </c>
      <c r="E1574" s="2" t="b">
        <f t="shared" ca="1" si="46"/>
        <v>1</v>
      </c>
      <c r="F1574" s="2" cm="1">
        <f t="array" aca="1" ref="F1574" ca="1">IF(G1574&lt;&gt;"",INDIRECT("'"&amp;G1574&amp;"'!"&amp;H1574),"")</f>
        <v>5096295</v>
      </c>
      <c r="G1574" s="1582" t="s">
        <v>6959</v>
      </c>
      <c r="H1574" s="2" t="s">
        <v>5053</v>
      </c>
    </row>
    <row r="1575" spans="1:11" x14ac:dyDescent="0.2">
      <c r="A1575">
        <v>1570</v>
      </c>
      <c r="B1575" s="7">
        <f>'BudgetSum 2-4'!D3</f>
        <v>514068</v>
      </c>
      <c r="C1575" s="3">
        <f t="shared" si="47"/>
        <v>-512498</v>
      </c>
      <c r="E1575" s="2" t="b">
        <f t="shared" ca="1" si="46"/>
        <v>1</v>
      </c>
      <c r="F1575" s="2" cm="1">
        <f t="array" aca="1" ref="F1575" ca="1">IF(G1575&lt;&gt;"",INDIRECT("'"&amp;G1575&amp;"'!"&amp;H1575),"")</f>
        <v>514068</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549937</v>
      </c>
      <c r="C1588" s="3">
        <f t="shared" si="47"/>
        <v>-548354</v>
      </c>
      <c r="E1588" s="2" t="b">
        <f t="shared" ca="1" si="46"/>
        <v>1</v>
      </c>
      <c r="F1588" s="2" cm="1">
        <f t="array" aca="1" ref="F1588" ca="1">IF(G1588&lt;&gt;"",INDIRECT("'"&amp;G1588&amp;"'!"&amp;H1588),"")</f>
        <v>549937</v>
      </c>
      <c r="G1588" s="1582" t="s">
        <v>6959</v>
      </c>
      <c r="H1588" s="2" t="s">
        <v>5055</v>
      </c>
    </row>
    <row r="1589" spans="1:11" x14ac:dyDescent="0.2">
      <c r="A1589">
        <v>1584</v>
      </c>
      <c r="B1589" s="7">
        <f>'BudgetSum 2-4'!E3</f>
        <v>231837</v>
      </c>
      <c r="C1589" s="3">
        <f t="shared" si="47"/>
        <v>-230253</v>
      </c>
      <c r="E1589" s="2" t="b">
        <f t="shared" ca="1" si="46"/>
        <v>1</v>
      </c>
      <c r="F1589" s="2" cm="1">
        <f t="array" aca="1" ref="F1589" ca="1">IF(G1589&lt;&gt;"",INDIRECT("'"&amp;G1589&amp;"'!"&amp;H1589),"")</f>
        <v>231837</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255943</v>
      </c>
      <c r="C1602" s="3">
        <f t="shared" si="47"/>
        <v>-254346</v>
      </c>
      <c r="E1602" s="2" t="b">
        <f t="shared" ref="E1602:E1665" ca="1" si="48">F1602=B1602</f>
        <v>1</v>
      </c>
      <c r="F1602" s="2" cm="1">
        <f t="array" aca="1" ref="F1602" ca="1">IF(G1602&lt;&gt;"",INDIRECT("'"&amp;G1602&amp;"'!"&amp;H1602),"")</f>
        <v>255943</v>
      </c>
      <c r="G1602" s="1582" t="s">
        <v>6959</v>
      </c>
      <c r="H1602" s="2" t="s">
        <v>5057</v>
      </c>
    </row>
    <row r="1603" spans="1:11" x14ac:dyDescent="0.2">
      <c r="A1603">
        <v>1598</v>
      </c>
      <c r="B1603" s="7">
        <f>'BudgetSum 2-4'!F3</f>
        <v>351894</v>
      </c>
      <c r="C1603" s="3">
        <f t="shared" si="47"/>
        <v>-350296</v>
      </c>
      <c r="E1603" s="2" t="b">
        <f t="shared" ca="1" si="48"/>
        <v>1</v>
      </c>
      <c r="F1603" s="2" cm="1">
        <f t="array" aca="1" ref="F1603" ca="1">IF(G1603&lt;&gt;"",INDIRECT("'"&amp;G1603&amp;"'!"&amp;H1603),"")</f>
        <v>351894</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423309</v>
      </c>
      <c r="C1616" s="3">
        <f t="shared" ref="C1616:C1644" si="49">A1616-B1616</f>
        <v>-421698</v>
      </c>
      <c r="E1616" s="2" t="b">
        <f t="shared" ca="1" si="48"/>
        <v>1</v>
      </c>
      <c r="F1616" s="2" cm="1">
        <f t="array" aca="1" ref="F1616" ca="1">IF(G1616&lt;&gt;"",INDIRECT("'"&amp;G1616&amp;"'!"&amp;H1616),"")</f>
        <v>423309</v>
      </c>
      <c r="G1616" s="1582" t="s">
        <v>6959</v>
      </c>
      <c r="H1616" s="2" t="s">
        <v>5059</v>
      </c>
    </row>
    <row r="1617" spans="1:11" x14ac:dyDescent="0.2">
      <c r="A1617">
        <v>1612</v>
      </c>
      <c r="B1617" s="7">
        <f>'BudgetSum 2-4'!G3</f>
        <v>108276</v>
      </c>
      <c r="C1617" s="3">
        <f t="shared" si="49"/>
        <v>-106664</v>
      </c>
      <c r="E1617" s="2" t="b">
        <f t="shared" ca="1" si="48"/>
        <v>1</v>
      </c>
      <c r="F1617" s="2" cm="1">
        <f t="array" aca="1" ref="F1617" ca="1">IF(G1617&lt;&gt;"",INDIRECT("'"&amp;G1617&amp;"'!"&amp;H1617),"")</f>
        <v>108276</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176007</v>
      </c>
      <c r="C1630" s="3">
        <f t="shared" si="49"/>
        <v>-174382</v>
      </c>
      <c r="E1630" s="2" t="b">
        <f t="shared" ca="1" si="48"/>
        <v>1</v>
      </c>
      <c r="F1630" s="2" cm="1">
        <f t="array" aca="1" ref="F1630" ca="1">IF(G1630&lt;&gt;"",INDIRECT("'"&amp;G1630&amp;"'!"&amp;H1630),"")</f>
        <v>176007</v>
      </c>
      <c r="G1630" s="1582" t="s">
        <v>6959</v>
      </c>
      <c r="H1630" s="2" t="s">
        <v>5061</v>
      </c>
    </row>
    <row r="1631" spans="1:11" x14ac:dyDescent="0.2">
      <c r="A1631">
        <v>1626</v>
      </c>
      <c r="B1631" s="7">
        <f>'BudgetSum 2-4'!H3</f>
        <v>-2000</v>
      </c>
      <c r="C1631" s="3">
        <f t="shared" si="49"/>
        <v>3626</v>
      </c>
      <c r="E1631" s="2" t="b">
        <f t="shared" ca="1" si="48"/>
        <v>1</v>
      </c>
      <c r="F1631" s="2" cm="1">
        <f t="array" aca="1" ref="F1631" ca="1">IF(G1631&lt;&gt;"",INDIRECT("'"&amp;G1631&amp;"'!"&amp;H1631),"")</f>
        <v>-2000</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-2000</v>
      </c>
      <c r="C1644" s="3">
        <f t="shared" si="49"/>
        <v>3639</v>
      </c>
      <c r="E1644" s="2" t="b">
        <f t="shared" ca="1" si="48"/>
        <v>1</v>
      </c>
      <c r="F1644" s="2" cm="1">
        <f t="array" aca="1" ref="F1644" ca="1">IF(G1644&lt;&gt;"",INDIRECT("'"&amp;G1644&amp;"'!"&amp;H1644),"")</f>
        <v>-2000</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280000</v>
      </c>
      <c r="C2025" s="3">
        <f t="shared" ref="C2025:C2050" si="56">A2025-B2025</f>
        <v>-277980</v>
      </c>
      <c r="E2025" s="2" t="b">
        <f t="shared" ca="1" si="55"/>
        <v>1</v>
      </c>
      <c r="F2025" s="2" cm="1">
        <f t="array" aca="1" ref="F2025" ca="1">IF(G2025&lt;&gt;"",INDIRECT("'"&amp;G2025&amp;"'!"&amp;H2025),"")</f>
        <v>280000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293000</v>
      </c>
      <c r="C2032" s="3">
        <f t="shared" si="56"/>
        <v>-290973</v>
      </c>
      <c r="E2032" s="2" t="b">
        <f t="shared" ca="1" si="55"/>
        <v>1</v>
      </c>
      <c r="F2032" s="2" cm="1">
        <f t="array" aca="1" ref="F2032" ca="1">IF(G2032&lt;&gt;"",INDIRECT("'"&amp;G2032&amp;"'!"&amp;H2032),"")</f>
        <v>293000</v>
      </c>
      <c r="G2032" s="1582" t="s">
        <v>6961</v>
      </c>
      <c r="H2032" s="2" t="s">
        <v>5066</v>
      </c>
    </row>
    <row r="2033" spans="1:19" x14ac:dyDescent="0.2">
      <c r="A2033">
        <v>2028</v>
      </c>
      <c r="B2033" s="7">
        <f>'EstExp 12-20'!K94</f>
        <v>0</v>
      </c>
      <c r="C2033" s="3">
        <f t="shared" si="56"/>
        <v>2028</v>
      </c>
      <c r="E2033" s="2" t="b">
        <f t="shared" ca="1" si="55"/>
        <v>1</v>
      </c>
      <c r="F2033" s="2" cm="1">
        <f t="array" aca="1" ref="F2033" ca="1">IF(G2033&lt;&gt;"",INDIRECT("'"&amp;G2033&amp;"'!"&amp;H2033),"")</f>
        <v>0</v>
      </c>
      <c r="G2033" s="1582" t="s">
        <v>6961</v>
      </c>
      <c r="H2033" s="2" t="s">
        <v>5067</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5337244</v>
      </c>
      <c r="C2495" s="3">
        <f t="shared" ref="C2495:C2503" si="64">A2495-B2495</f>
        <v>-5334754</v>
      </c>
      <c r="E2495" s="2" t="b">
        <f t="shared" ca="1" si="63"/>
        <v>1</v>
      </c>
      <c r="F2495" s="2" cm="1">
        <f t="array" aca="1" ref="F2495" ca="1">IF(G2495&lt;&gt;"",INDIRECT("'"&amp;G2495&amp;"'!"&amp;H2495),"")</f>
        <v>5337244</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3277711</v>
      </c>
      <c r="C2497" s="3">
        <f t="shared" si="64"/>
        <v>-3275219</v>
      </c>
      <c r="E2497" s="2" t="b">
        <f t="shared" ca="1" si="63"/>
        <v>1</v>
      </c>
      <c r="F2497" s="2" cm="1">
        <f t="array" aca="1" ref="F2497" ca="1">IF(G2497&lt;&gt;"",INDIRECT("'"&amp;G2497&amp;"'!"&amp;H2497),"")</f>
        <v>3277711</v>
      </c>
      <c r="G2497" s="1582" t="s">
        <v>6959</v>
      </c>
      <c r="H2497" s="2" t="s">
        <v>4420</v>
      </c>
    </row>
    <row r="2498" spans="1:11" x14ac:dyDescent="0.2">
      <c r="A2498">
        <v>2493</v>
      </c>
      <c r="B2498" s="7">
        <f>'BudgetSum 2-4'!C8</f>
        <v>1156425</v>
      </c>
      <c r="C2498" s="3">
        <f t="shared" si="64"/>
        <v>-1153932</v>
      </c>
      <c r="E2498" s="2" t="b">
        <f t="shared" ref="E2498:E2561" ca="1" si="65">F2498=B2498</f>
        <v>1</v>
      </c>
      <c r="F2498" s="2" cm="1">
        <f t="array" aca="1" ref="F2498" ca="1">IF(G2498&lt;&gt;"",INDIRECT("'"&amp;G2498&amp;"'!"&amp;H2498),"")</f>
        <v>1156425</v>
      </c>
      <c r="G2498" s="1582" t="s">
        <v>6959</v>
      </c>
      <c r="H2498" s="2" t="s">
        <v>4428</v>
      </c>
    </row>
    <row r="2499" spans="1:11" x14ac:dyDescent="0.2">
      <c r="A2499">
        <v>2494</v>
      </c>
      <c r="B2499" s="7">
        <f>'BudgetSum 2-4'!C9</f>
        <v>9771480</v>
      </c>
      <c r="C2499" s="3">
        <f t="shared" si="64"/>
        <v>-9768986</v>
      </c>
      <c r="E2499" s="2" t="b">
        <f t="shared" ca="1" si="65"/>
        <v>1</v>
      </c>
      <c r="F2499" s="2" cm="1">
        <f t="array" aca="1" ref="F2499" ca="1">IF(G2499&lt;&gt;"",INDIRECT("'"&amp;G2499&amp;"'!"&amp;H2499),"")</f>
        <v>9771480</v>
      </c>
      <c r="G2499" s="1582" t="s">
        <v>6959</v>
      </c>
      <c r="H2499" s="2" t="s">
        <v>5076</v>
      </c>
    </row>
    <row r="2500" spans="1:11" x14ac:dyDescent="0.2">
      <c r="A2500">
        <v>2495</v>
      </c>
      <c r="B2500" s="7">
        <f>'BudgetSum 2-4'!C13</f>
        <v>5931973</v>
      </c>
      <c r="C2500" s="3">
        <f t="shared" si="64"/>
        <v>-5929478</v>
      </c>
      <c r="E2500" s="2" t="b">
        <f t="shared" ca="1" si="65"/>
        <v>1</v>
      </c>
      <c r="F2500" s="2" cm="1">
        <f t="array" aca="1" ref="F2500" ca="1">IF(G2500&lt;&gt;"",INDIRECT("'"&amp;G2500&amp;"'!"&amp;H2500),"")</f>
        <v>5931973</v>
      </c>
      <c r="G2500" s="1582" t="s">
        <v>6959</v>
      </c>
      <c r="H2500" s="2" t="s">
        <v>4424</v>
      </c>
    </row>
    <row r="2501" spans="1:11" x14ac:dyDescent="0.2">
      <c r="A2501">
        <v>2496</v>
      </c>
      <c r="B2501" s="7">
        <f>'BudgetSum 2-4'!C14</f>
        <v>3423605</v>
      </c>
      <c r="C2501" s="3">
        <f t="shared" si="64"/>
        <v>-3421109</v>
      </c>
      <c r="E2501" s="2" t="b">
        <f t="shared" ca="1" si="65"/>
        <v>1</v>
      </c>
      <c r="F2501" s="2" cm="1">
        <f t="array" aca="1" ref="F2501" ca="1">IF(G2501&lt;&gt;"",INDIRECT("'"&amp;G2501&amp;"'!"&amp;H2501),"")</f>
        <v>3423605</v>
      </c>
      <c r="G2501" s="1582" t="s">
        <v>6959</v>
      </c>
      <c r="H2501" s="2" t="s">
        <v>4534</v>
      </c>
    </row>
    <row r="2502" spans="1:11" x14ac:dyDescent="0.2">
      <c r="A2502">
        <v>2497</v>
      </c>
      <c r="B2502" s="7">
        <f>'BudgetSum 2-4'!C15</f>
        <v>8797</v>
      </c>
      <c r="C2502" s="3">
        <f t="shared" si="64"/>
        <v>-6300</v>
      </c>
      <c r="E2502" s="2" t="b">
        <f t="shared" ca="1" si="65"/>
        <v>1</v>
      </c>
      <c r="F2502" s="2" cm="1">
        <f t="array" aca="1" ref="F2502" ca="1">IF(G2502&lt;&gt;"",INDIRECT("'"&amp;G2502&amp;"'!"&amp;H2502),"")</f>
        <v>8797</v>
      </c>
      <c r="G2502" s="1582" t="s">
        <v>6959</v>
      </c>
      <c r="H2502" s="2" t="s">
        <v>4425</v>
      </c>
    </row>
    <row r="2503" spans="1:11" x14ac:dyDescent="0.2">
      <c r="A2503">
        <v>2498</v>
      </c>
      <c r="B2503" s="7">
        <f>'BudgetSum 2-4'!C16</f>
        <v>293000</v>
      </c>
      <c r="C2503" s="3">
        <f t="shared" si="64"/>
        <v>-290502</v>
      </c>
      <c r="E2503" s="2" t="b">
        <f t="shared" ca="1" si="65"/>
        <v>1</v>
      </c>
      <c r="F2503" s="2" cm="1">
        <f t="array" aca="1" ref="F2503" ca="1">IF(G2503&lt;&gt;"",INDIRECT("'"&amp;G2503&amp;"'!"&amp;H2503),"")</f>
        <v>293000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9657375</v>
      </c>
      <c r="C2505" s="3">
        <f t="shared" si="66"/>
        <v>-9654875</v>
      </c>
      <c r="E2505" s="2" t="b">
        <f t="shared" ca="1" si="65"/>
        <v>1</v>
      </c>
      <c r="F2505" s="2" cm="1">
        <f t="array" aca="1" ref="F2505" ca="1">IF(G2505&lt;&gt;"",INDIRECT("'"&amp;G2505&amp;"'!"&amp;H2505),"")</f>
        <v>9657375</v>
      </c>
      <c r="G2505" s="1582" t="s">
        <v>6959</v>
      </c>
      <c r="H2505" s="2" t="s">
        <v>4429</v>
      </c>
    </row>
    <row r="2506" spans="1:11" x14ac:dyDescent="0.2">
      <c r="A2506">
        <v>2501</v>
      </c>
      <c r="B2506" s="7">
        <f>'BudgetSum 2-4'!C22</f>
        <v>114105</v>
      </c>
      <c r="C2506" s="3">
        <f t="shared" si="66"/>
        <v>-111604</v>
      </c>
      <c r="E2506" s="2" t="b">
        <f t="shared" ca="1" si="65"/>
        <v>1</v>
      </c>
      <c r="F2506" s="2" cm="1">
        <f t="array" aca="1" ref="F2506" ca="1">IF(G2506&lt;&gt;"",INDIRECT("'"&amp;G2506&amp;"'!"&amp;H2506),"")</f>
        <v>114105</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880823</v>
      </c>
      <c r="C2508" s="3">
        <f t="shared" si="66"/>
        <v>-878320</v>
      </c>
      <c r="E2508" s="2" t="b">
        <f t="shared" ca="1" si="65"/>
        <v>1</v>
      </c>
      <c r="F2508" s="2" cm="1">
        <f t="array" aca="1" ref="F2508" ca="1">IF(G2508&lt;&gt;"",INDIRECT("'"&amp;G2508&amp;"'!"&amp;H2508),"")</f>
        <v>880823</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341768</v>
      </c>
      <c r="C2510" s="3">
        <f t="shared" si="66"/>
        <v>-339263</v>
      </c>
      <c r="E2510" s="2" t="b">
        <f t="shared" ca="1" si="65"/>
        <v>1</v>
      </c>
      <c r="F2510" s="2" cm="1">
        <f t="array" aca="1" ref="F2510" ca="1">IF(G2510&lt;&gt;"",INDIRECT("'"&amp;G2510&amp;"'!"&amp;H2510),"")</f>
        <v>341768</v>
      </c>
      <c r="G2510" s="1582" t="s">
        <v>6959</v>
      </c>
      <c r="H2510" s="2" t="s">
        <v>4433</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x14ac:dyDescent="0.2">
      <c r="A2512">
        <v>2507</v>
      </c>
      <c r="B2512" s="7">
        <f>'BudgetSum 2-4'!D9</f>
        <v>1222591</v>
      </c>
      <c r="C2512" s="3">
        <f t="shared" si="66"/>
        <v>-1220084</v>
      </c>
      <c r="E2512" s="2" t="b">
        <f t="shared" ca="1" si="65"/>
        <v>1</v>
      </c>
      <c r="F2512" s="2" cm="1">
        <f t="array" aca="1" ref="F2512" ca="1">IF(G2512&lt;&gt;"",INDIRECT("'"&amp;G2512&amp;"'!"&amp;H2512),"")</f>
        <v>1222591</v>
      </c>
      <c r="G2512" s="1582" t="s">
        <v>6959</v>
      </c>
      <c r="H2512" s="2" t="s">
        <v>5078</v>
      </c>
    </row>
    <row r="2513" spans="1:11" x14ac:dyDescent="0.2">
      <c r="A2513">
        <v>2508</v>
      </c>
      <c r="B2513" s="7">
        <f>'BudgetSum 2-4'!D14</f>
        <v>1186722</v>
      </c>
      <c r="C2513" s="3">
        <f t="shared" si="66"/>
        <v>-1184214</v>
      </c>
      <c r="E2513" s="2" t="b">
        <f t="shared" ca="1" si="65"/>
        <v>1</v>
      </c>
      <c r="F2513" s="2" cm="1">
        <f t="array" aca="1" ref="F2513" ca="1">IF(G2513&lt;&gt;"",INDIRECT("'"&amp;G2513&amp;"'!"&amp;H2513),"")</f>
        <v>1186722</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1186722</v>
      </c>
      <c r="C2517" s="3">
        <f t="shared" si="66"/>
        <v>-1184210</v>
      </c>
      <c r="E2517" s="2" t="b">
        <f t="shared" ca="1" si="65"/>
        <v>1</v>
      </c>
      <c r="F2517" s="2" cm="1">
        <f t="array" aca="1" ref="F2517" ca="1">IF(G2517&lt;&gt;"",INDIRECT("'"&amp;G2517&amp;"'!"&amp;H2517),"")</f>
        <v>1186722</v>
      </c>
      <c r="G2517" s="1582" t="s">
        <v>6959</v>
      </c>
      <c r="H2517" s="2" t="s">
        <v>4441</v>
      </c>
    </row>
    <row r="2518" spans="1:11" x14ac:dyDescent="0.2">
      <c r="A2518">
        <v>2513</v>
      </c>
      <c r="B2518" s="7">
        <f>'BudgetSum 2-4'!D22</f>
        <v>35869</v>
      </c>
      <c r="C2518" s="3">
        <f t="shared" si="66"/>
        <v>-33356</v>
      </c>
      <c r="E2518" s="2" t="b">
        <f t="shared" ca="1" si="65"/>
        <v>1</v>
      </c>
      <c r="F2518" s="2" cm="1">
        <f t="array" aca="1" ref="F2518" ca="1">IF(G2518&lt;&gt;"",INDIRECT("'"&amp;G2518&amp;"'!"&amp;H2518),"")</f>
        <v>35869</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217298</v>
      </c>
      <c r="C2535" s="3">
        <f t="shared" si="66"/>
        <v>-214768</v>
      </c>
      <c r="E2535" s="2" t="b">
        <f t="shared" ca="1" si="65"/>
        <v>1</v>
      </c>
      <c r="F2535" s="2" cm="1">
        <f t="array" aca="1" ref="F2535" ca="1">IF(G2535&lt;&gt;"",INDIRECT("'"&amp;G2535&amp;"'!"&amp;H2535),"")</f>
        <v>217298</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540476</v>
      </c>
      <c r="C2537" s="3">
        <f t="shared" si="66"/>
        <v>-537944</v>
      </c>
      <c r="E2537" s="2" t="b">
        <f t="shared" ca="1" si="65"/>
        <v>1</v>
      </c>
      <c r="F2537" s="2" cm="1">
        <f t="array" aca="1" ref="F2537" ca="1">IF(G2537&lt;&gt;"",INDIRECT("'"&amp;G2537&amp;"'!"&amp;H2537),"")</f>
        <v>540476</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757774</v>
      </c>
      <c r="C2539" s="3">
        <f t="shared" si="66"/>
        <v>-755240</v>
      </c>
      <c r="E2539" s="2" t="b">
        <f t="shared" ca="1" si="65"/>
        <v>1</v>
      </c>
      <c r="F2539" s="2" cm="1">
        <f t="array" aca="1" ref="F2539" ca="1">IF(G2539&lt;&gt;"",INDIRECT("'"&amp;G2539&amp;"'!"&amp;H2539),"")</f>
        <v>757774</v>
      </c>
      <c r="G2539" s="1582" t="s">
        <v>6959</v>
      </c>
      <c r="H2539" s="2" t="s">
        <v>5081</v>
      </c>
    </row>
    <row r="2540" spans="1:11" x14ac:dyDescent="0.2">
      <c r="A2540">
        <v>2535</v>
      </c>
      <c r="B2540" s="7">
        <f>'BudgetSum 2-4'!F14</f>
        <v>686359</v>
      </c>
      <c r="C2540" s="3">
        <f t="shared" si="66"/>
        <v>-683824</v>
      </c>
      <c r="E2540" s="2" t="b">
        <f t="shared" ca="1" si="65"/>
        <v>1</v>
      </c>
      <c r="F2540" s="2" cm="1">
        <f t="array" aca="1" ref="F2540" ca="1">IF(G2540&lt;&gt;"",INDIRECT("'"&amp;G2540&amp;"'!"&amp;H2540),"")</f>
        <v>686359</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x14ac:dyDescent="0.2">
      <c r="A2543">
        <v>2538</v>
      </c>
      <c r="B2543" s="7">
        <f>'BudgetSum 2-4'!F17</f>
        <v>0</v>
      </c>
      <c r="C2543" s="3">
        <f t="shared" si="66"/>
        <v>2538</v>
      </c>
      <c r="E2543" s="2" t="b">
        <f t="shared" ca="1" si="65"/>
        <v>1</v>
      </c>
      <c r="F2543" s="2" cm="1">
        <f t="array" aca="1" ref="F2543" ca="1">IF(G2543&lt;&gt;"",INDIRECT("'"&amp;G2543&amp;"'!"&amp;H2543),"")</f>
        <v>0</v>
      </c>
      <c r="G2543" s="1582" t="s">
        <v>6959</v>
      </c>
      <c r="H2543" s="2" t="s">
        <v>4462</v>
      </c>
    </row>
    <row r="2544" spans="1:11" x14ac:dyDescent="0.2">
      <c r="A2544">
        <v>2539</v>
      </c>
      <c r="B2544" s="7">
        <f>'BudgetSum 2-4'!F19</f>
        <v>686359</v>
      </c>
      <c r="C2544" s="3">
        <f t="shared" si="66"/>
        <v>-683820</v>
      </c>
      <c r="E2544" s="2" t="b">
        <f t="shared" ca="1" si="65"/>
        <v>1</v>
      </c>
      <c r="F2544" s="2" cm="1">
        <f t="array" aca="1" ref="F2544" ca="1">IF(G2544&lt;&gt;"",INDIRECT("'"&amp;G2544&amp;"'!"&amp;H2544),"")</f>
        <v>686359</v>
      </c>
      <c r="G2544" s="1582" t="s">
        <v>6959</v>
      </c>
      <c r="H2544" s="2" t="s">
        <v>4463</v>
      </c>
    </row>
    <row r="2545" spans="1:11" x14ac:dyDescent="0.2">
      <c r="A2545">
        <v>2540</v>
      </c>
      <c r="B2545" s="7">
        <f>'BudgetSum 2-4'!F22</f>
        <v>71415</v>
      </c>
      <c r="C2545" s="3">
        <f t="shared" si="66"/>
        <v>-68875</v>
      </c>
      <c r="E2545" s="2" t="b">
        <f t="shared" ca="1" si="65"/>
        <v>1</v>
      </c>
      <c r="F2545" s="2" cm="1">
        <f t="array" aca="1" ref="F2545" ca="1">IF(G2545&lt;&gt;"",INDIRECT("'"&amp;G2545&amp;"'!"&amp;H2545),"")</f>
        <v>71415</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356060</v>
      </c>
      <c r="C2547" s="3">
        <f t="shared" si="66"/>
        <v>-353518</v>
      </c>
      <c r="E2547" s="2" t="b">
        <f t="shared" ca="1" si="65"/>
        <v>1</v>
      </c>
      <c r="F2547" s="2" cm="1">
        <f t="array" aca="1" ref="F2547" ca="1">IF(G2547&lt;&gt;"",INDIRECT("'"&amp;G2547&amp;"'!"&amp;H2547),"")</f>
        <v>356060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356060</v>
      </c>
      <c r="C2550" s="3">
        <f t="shared" si="66"/>
        <v>-353515</v>
      </c>
      <c r="E2550" s="2" t="b">
        <f t="shared" ca="1" si="65"/>
        <v>1</v>
      </c>
      <c r="F2550" s="2" cm="1">
        <f t="array" aca="1" ref="F2550" ca="1">IF(G2550&lt;&gt;"",INDIRECT("'"&amp;G2550&amp;"'!"&amp;H2550),"")</f>
        <v>356060</v>
      </c>
      <c r="G2550" s="1582" t="s">
        <v>6959</v>
      </c>
      <c r="H2550" s="2" t="s">
        <v>5085</v>
      </c>
    </row>
    <row r="2551" spans="1:11" x14ac:dyDescent="0.2">
      <c r="A2551">
        <v>2546</v>
      </c>
      <c r="B2551" s="7">
        <f>'BudgetSum 2-4'!G13</f>
        <v>92734</v>
      </c>
      <c r="C2551" s="3">
        <f t="shared" si="66"/>
        <v>-90188</v>
      </c>
      <c r="E2551" s="2" t="b">
        <f t="shared" ca="1" si="65"/>
        <v>1</v>
      </c>
      <c r="F2551" s="2" cm="1">
        <f t="array" aca="1" ref="F2551" ca="1">IF(G2551&lt;&gt;"",INDIRECT("'"&amp;G2551&amp;"'!"&amp;H2551),"")</f>
        <v>92734</v>
      </c>
      <c r="G2551" s="1582" t="s">
        <v>6959</v>
      </c>
      <c r="H2551" s="2" t="s">
        <v>4470</v>
      </c>
    </row>
    <row r="2552" spans="1:11" x14ac:dyDescent="0.2">
      <c r="A2552">
        <v>2547</v>
      </c>
      <c r="B2552" s="7">
        <f>'BudgetSum 2-4'!G14</f>
        <v>195595</v>
      </c>
      <c r="C2552" s="3">
        <f t="shared" si="66"/>
        <v>-193048</v>
      </c>
      <c r="E2552" s="2" t="b">
        <f t="shared" ca="1" si="65"/>
        <v>1</v>
      </c>
      <c r="F2552" s="2" cm="1">
        <f t="array" aca="1" ref="F2552" ca="1">IF(G2552&lt;&gt;"",INDIRECT("'"&amp;G2552&amp;"'!"&amp;H2552),"")</f>
        <v>195595</v>
      </c>
      <c r="G2552" s="1582" t="s">
        <v>6959</v>
      </c>
      <c r="H2552" s="2" t="s">
        <v>4683</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288329</v>
      </c>
      <c r="C2556" s="3">
        <f t="shared" si="66"/>
        <v>-285778</v>
      </c>
      <c r="E2556" s="2" t="b">
        <f t="shared" ca="1" si="65"/>
        <v>1</v>
      </c>
      <c r="F2556" s="2" cm="1">
        <f t="array" aca="1" ref="F2556" ca="1">IF(G2556&lt;&gt;"",INDIRECT("'"&amp;G2556&amp;"'!"&amp;H2556),"")</f>
        <v>288329</v>
      </c>
      <c r="G2556" s="1582" t="s">
        <v>6959</v>
      </c>
      <c r="H2556" s="2" t="s">
        <v>4473</v>
      </c>
    </row>
    <row r="2557" spans="1:11" x14ac:dyDescent="0.2">
      <c r="A2557">
        <v>2552</v>
      </c>
      <c r="B2557" s="7">
        <f>'BudgetSum 2-4'!G22</f>
        <v>67731</v>
      </c>
      <c r="C2557" s="3">
        <f t="shared" si="66"/>
        <v>-65179</v>
      </c>
      <c r="E2557" s="2" t="b">
        <f t="shared" ca="1" si="65"/>
        <v>1</v>
      </c>
      <c r="F2557" s="2" cm="1">
        <f t="array" aca="1" ref="F2557" ca="1">IF(G2557&lt;&gt;"",INDIRECT("'"&amp;G2557&amp;"'!"&amp;H2557),"")</f>
        <v>67731</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453066</v>
      </c>
      <c r="C2574" s="3">
        <f t="shared" ref="C2574:C2606" si="68">A2574-B2574</f>
        <v>-450497</v>
      </c>
      <c r="E2574" s="2" t="b">
        <f t="shared" ca="1" si="67"/>
        <v>1</v>
      </c>
      <c r="F2574" s="2" cm="1">
        <f t="array" aca="1" ref="F2574" ca="1">IF(G2574&lt;&gt;"",INDIRECT("'"&amp;G2574&amp;"'!"&amp;H2574),"")</f>
        <v>453066</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453066</v>
      </c>
      <c r="C2576" s="3">
        <f t="shared" si="68"/>
        <v>-450495</v>
      </c>
      <c r="E2576" s="2" t="b">
        <f t="shared" ca="1" si="67"/>
        <v>1</v>
      </c>
      <c r="F2576" s="2" cm="1">
        <f t="array" aca="1" ref="F2576" ca="1">IF(G2576&lt;&gt;"",INDIRECT("'"&amp;G2576&amp;"'!"&amp;H2576),"")</f>
        <v>453066</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428960</v>
      </c>
      <c r="C2578" s="3">
        <f t="shared" si="68"/>
        <v>-426387</v>
      </c>
      <c r="E2578" s="2" t="b">
        <f t="shared" ca="1" si="67"/>
        <v>1</v>
      </c>
      <c r="F2578" s="2" cm="1">
        <f t="array" aca="1" ref="F2578" ca="1">IF(G2578&lt;&gt;"",INDIRECT("'"&amp;G2578&amp;"'!"&amp;H2578),"")</f>
        <v>428960</v>
      </c>
      <c r="G2578" s="1582" t="s">
        <v>6959</v>
      </c>
      <c r="H2578" s="2" t="s">
        <v>5089</v>
      </c>
    </row>
    <row r="2579" spans="1:11" x14ac:dyDescent="0.2">
      <c r="A2579">
        <v>2574</v>
      </c>
      <c r="B2579" s="7">
        <f>'BudgetSum 2-4'!E19</f>
        <v>428960</v>
      </c>
      <c r="C2579" s="3">
        <f t="shared" si="68"/>
        <v>-426386</v>
      </c>
      <c r="E2579" s="2" t="b">
        <f t="shared" ca="1" si="67"/>
        <v>1</v>
      </c>
      <c r="F2579" s="2" cm="1">
        <f t="array" aca="1" ref="F2579" ca="1">IF(G2579&lt;&gt;"",INDIRECT("'"&amp;G2579&amp;"'!"&amp;H2579),"")</f>
        <v>428960</v>
      </c>
      <c r="G2579" s="1582" t="s">
        <v>6959</v>
      </c>
      <c r="H2579" s="2" t="s">
        <v>4451</v>
      </c>
    </row>
    <row r="2580" spans="1:11" x14ac:dyDescent="0.2">
      <c r="A2580">
        <v>2575</v>
      </c>
      <c r="B2580" s="7">
        <f>'BudgetSum 2-4'!E22</f>
        <v>24106</v>
      </c>
      <c r="C2580" s="3">
        <f t="shared" si="68"/>
        <v>-21531</v>
      </c>
      <c r="E2580" s="2" t="b">
        <f t="shared" ca="1" si="67"/>
        <v>1</v>
      </c>
      <c r="F2580" s="2" cm="1">
        <f t="array" aca="1" ref="F2580" ca="1">IF(G2580&lt;&gt;"",INDIRECT("'"&amp;G2580&amp;"'!"&amp;H2580),"")</f>
        <v>24106</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0</v>
      </c>
      <c r="C2599" s="3">
        <f t="shared" si="68"/>
        <v>2594</v>
      </c>
      <c r="E2599" s="2" t="b">
        <f t="shared" ca="1" si="67"/>
        <v>1</v>
      </c>
      <c r="F2599" s="2" cm="1">
        <f t="array" aca="1" ref="F2599" ca="1">IF(G2599&lt;&gt;"",INDIRECT("'"&amp;G2599&amp;"'!"&amp;H2599),"")</f>
        <v>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0</v>
      </c>
      <c r="C2602" s="3">
        <f t="shared" si="68"/>
        <v>2597</v>
      </c>
      <c r="E2602" s="2" t="b">
        <f t="shared" ca="1" si="67"/>
        <v>1</v>
      </c>
      <c r="F2602" s="2" cm="1">
        <f t="array" aca="1" ref="F2602" ca="1">IF(G2602&lt;&gt;"",INDIRECT("'"&amp;G2602&amp;"'!"&amp;H2602),"")</f>
        <v>0</v>
      </c>
      <c r="G2602" s="1582" t="s">
        <v>6959</v>
      </c>
      <c r="H2602" s="2" t="s">
        <v>5093</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6959</v>
      </c>
      <c r="H2605" s="2" t="s">
        <v>4481</v>
      </c>
    </row>
    <row r="2606" spans="1:11" x14ac:dyDescent="0.2">
      <c r="A2606">
        <v>2601</v>
      </c>
      <c r="B2606" s="7">
        <f>'BudgetSum 2-4'!H22</f>
        <v>0</v>
      </c>
      <c r="C2606" s="3">
        <f t="shared" si="68"/>
        <v>2601</v>
      </c>
      <c r="E2606" s="2" t="b">
        <f t="shared" ca="1" si="67"/>
        <v>1</v>
      </c>
      <c r="F2606" s="2" cm="1">
        <f t="array" aca="1" ref="F2606" ca="1">IF(G2606&lt;&gt;"",INDIRECT("'"&amp;G2606&amp;"'!"&amp;H2606),"")</f>
        <v>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99647</v>
      </c>
      <c r="C2662" s="3">
        <f t="shared" ref="C2662:C2670" si="70">A2662-B2662</f>
        <v>-96990</v>
      </c>
      <c r="E2662" s="2" t="b">
        <f t="shared" ca="1" si="69"/>
        <v>1</v>
      </c>
      <c r="F2662" s="2" cm="1">
        <f t="array" aca="1" ref="F2662" ca="1">IF(G2662&lt;&gt;"",INDIRECT("'"&amp;G2662&amp;"'!"&amp;H2662),"")</f>
        <v>99647</v>
      </c>
      <c r="G2662" s="1582" t="s">
        <v>6961</v>
      </c>
      <c r="H2662" s="2" t="s">
        <v>5095</v>
      </c>
    </row>
    <row r="2663" spans="1:11" x14ac:dyDescent="0.2">
      <c r="A2663">
        <v>2658</v>
      </c>
      <c r="B2663" s="7">
        <f>'EstExp 12-20'!D53</f>
        <v>9341</v>
      </c>
      <c r="C2663" s="3">
        <f t="shared" si="70"/>
        <v>-6683</v>
      </c>
      <c r="E2663" s="2" t="b">
        <f t="shared" ca="1" si="69"/>
        <v>1</v>
      </c>
      <c r="F2663" s="2" cm="1">
        <f t="array" aca="1" ref="F2663" ca="1">IF(G2663&lt;&gt;"",INDIRECT("'"&amp;G2663&amp;"'!"&amp;H2663),"")</f>
        <v>9341</v>
      </c>
      <c r="G2663" s="1582" t="s">
        <v>6961</v>
      </c>
      <c r="H2663" s="2" t="s">
        <v>5096</v>
      </c>
    </row>
    <row r="2664" spans="1:11" x14ac:dyDescent="0.2">
      <c r="A2664">
        <v>2659</v>
      </c>
      <c r="B2664" s="7">
        <f>'EstExp 12-20'!E53</f>
        <v>9500</v>
      </c>
      <c r="C2664" s="3">
        <f t="shared" si="70"/>
        <v>-6841</v>
      </c>
      <c r="E2664" s="2" t="b">
        <f t="shared" ca="1" si="69"/>
        <v>1</v>
      </c>
      <c r="F2664" s="2" cm="1">
        <f t="array" aca="1" ref="F2664" ca="1">IF(G2664&lt;&gt;"",INDIRECT("'"&amp;G2664&amp;"'!"&amp;H2664),"")</f>
        <v>9500</v>
      </c>
      <c r="G2664" s="1582" t="s">
        <v>6961</v>
      </c>
      <c r="H2664" s="2" t="s">
        <v>5097</v>
      </c>
    </row>
    <row r="2665" spans="1:11" x14ac:dyDescent="0.2">
      <c r="A2665">
        <v>2660</v>
      </c>
      <c r="B2665" s="7">
        <f>'EstExp 12-20'!F53</f>
        <v>5000</v>
      </c>
      <c r="C2665" s="3">
        <f t="shared" si="70"/>
        <v>-2340</v>
      </c>
      <c r="E2665" s="2" t="b">
        <f t="shared" ca="1" si="69"/>
        <v>1</v>
      </c>
      <c r="F2665" s="2" cm="1">
        <f t="array" aca="1" ref="F2665" ca="1">IF(G2665&lt;&gt;"",INDIRECT("'"&amp;G2665&amp;"'!"&amp;H2665),"")</f>
        <v>5000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123488</v>
      </c>
      <c r="C2668" s="3">
        <f t="shared" si="70"/>
        <v>-120825</v>
      </c>
      <c r="E2668" s="2" t="b">
        <f t="shared" ca="1" si="69"/>
        <v>1</v>
      </c>
      <c r="F2668" s="2" cm="1">
        <f t="array" aca="1" ref="F2668" ca="1">IF(G2668&lt;&gt;"",INDIRECT("'"&amp;G2668&amp;"'!"&amp;H2668),"")</f>
        <v>123488</v>
      </c>
      <c r="G2668" s="1582" t="s">
        <v>6961</v>
      </c>
      <c r="H2668" s="2" t="s">
        <v>5101</v>
      </c>
    </row>
    <row r="2669" spans="1:11" x14ac:dyDescent="0.2">
      <c r="A2669">
        <v>2664</v>
      </c>
      <c r="B2669" s="7">
        <f>'EstExp 12-20'!D251</f>
        <v>5116</v>
      </c>
      <c r="C2669" s="3">
        <f t="shared" si="70"/>
        <v>-2452</v>
      </c>
      <c r="E2669" s="2" t="b">
        <f t="shared" ca="1" si="69"/>
        <v>1</v>
      </c>
      <c r="F2669" s="2" cm="1">
        <f t="array" aca="1" ref="F2669" ca="1">IF(G2669&lt;&gt;"",INDIRECT("'"&amp;G2669&amp;"'!"&amp;H2669),"")</f>
        <v>5116</v>
      </c>
      <c r="G2669" s="1582" t="s">
        <v>6961</v>
      </c>
      <c r="H2669" s="2" t="s">
        <v>5102</v>
      </c>
    </row>
    <row r="2670" spans="1:11" x14ac:dyDescent="0.2">
      <c r="A2670">
        <v>2665</v>
      </c>
      <c r="B2670" s="7">
        <f>'EstExp 12-20'!K251</f>
        <v>5116</v>
      </c>
      <c r="C2670" s="3">
        <f t="shared" si="70"/>
        <v>-2451</v>
      </c>
      <c r="E2670" s="2" t="b">
        <f t="shared" ca="1" si="69"/>
        <v>1</v>
      </c>
      <c r="F2670" s="2" cm="1">
        <f t="array" aca="1" ref="F2670" ca="1">IF(G2670&lt;&gt;"",INDIRECT("'"&amp;G2670&amp;"'!"&amp;H2670),"")</f>
        <v>5116</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13000</v>
      </c>
      <c r="C2733" s="3">
        <f t="shared" si="72"/>
        <v>-10272</v>
      </c>
      <c r="E2733" s="2" t="b">
        <f t="shared" ca="1" si="71"/>
        <v>1</v>
      </c>
      <c r="F2733" s="2" cm="1">
        <f t="array" aca="1" ref="F2733" ca="1">IF(G2733&lt;&gt;"",INDIRECT("'"&amp;G2733&amp;"'!"&amp;H2733),"")</f>
        <v>13000</v>
      </c>
      <c r="G2733" s="1582" t="s">
        <v>6961</v>
      </c>
      <c r="H2733" s="2" t="s">
        <v>5112</v>
      </c>
    </row>
    <row r="2734" spans="1:11" x14ac:dyDescent="0.2">
      <c r="A2734">
        <v>2729</v>
      </c>
      <c r="B2734" s="7">
        <f>'EstExp 12-20'!E104</f>
        <v>13000</v>
      </c>
      <c r="C2734" s="3">
        <f t="shared" si="72"/>
        <v>-10271</v>
      </c>
      <c r="E2734" s="2" t="b">
        <f t="shared" ca="1" si="71"/>
        <v>1</v>
      </c>
      <c r="F2734" s="2" cm="1">
        <f t="array" aca="1" ref="F2734" ca="1">IF(G2734&lt;&gt;"",INDIRECT("'"&amp;G2734&amp;"'!"&amp;H2734),"")</f>
        <v>13000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183960</v>
      </c>
      <c r="C2757" s="3">
        <f t="shared" si="72"/>
        <v>-181208</v>
      </c>
      <c r="E2757" s="2" t="b">
        <f t="shared" ca="1" si="73"/>
        <v>1</v>
      </c>
      <c r="F2757" s="2" cm="1">
        <f t="array" aca="1" ref="F2757" ca="1">IF(G2757&lt;&gt;"",INDIRECT("'"&amp;G2757&amp;"'!"&amp;H2757),"")</f>
        <v>183960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183960</v>
      </c>
      <c r="C2763" s="3">
        <f t="shared" si="74"/>
        <v>-181202</v>
      </c>
      <c r="E2763" s="2" t="b">
        <f t="shared" ca="1" si="73"/>
        <v>1</v>
      </c>
      <c r="F2763" s="2" cm="1">
        <f t="array" aca="1" ref="F2763" ca="1">IF(G2763&lt;&gt;"",INDIRECT("'"&amp;G2763&amp;"'!"&amp;H2763),"")</f>
        <v>183960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x14ac:dyDescent="0.2">
      <c r="A2894">
        <v>2889</v>
      </c>
      <c r="B2894" s="7">
        <f>'EstExp 12-20'!E81</f>
        <v>13000</v>
      </c>
      <c r="C2894" s="3">
        <f t="shared" si="77"/>
        <v>-10111</v>
      </c>
      <c r="E2894" s="2" t="b">
        <f t="shared" ca="1" si="76"/>
        <v>1</v>
      </c>
      <c r="F2894" s="2" cm="1">
        <f t="array" aca="1" ref="F2894" ca="1">IF(G2894&lt;&gt;"",INDIRECT("'"&amp;G2894&amp;"'!"&amp;H2894),"")</f>
        <v>13000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280000</v>
      </c>
      <c r="C2900" s="3">
        <f t="shared" si="77"/>
        <v>-277105</v>
      </c>
      <c r="E2900" s="2" t="b">
        <f t="shared" ca="1" si="76"/>
        <v>1</v>
      </c>
      <c r="F2900" s="2" cm="1">
        <f t="array" aca="1" ref="F2900" ca="1">IF(G2900&lt;&gt;"",INDIRECT("'"&amp;G2900&amp;"'!"&amp;H2900),"")</f>
        <v>280000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6961</v>
      </c>
      <c r="H2917" s="2" t="s">
        <v>5166</v>
      </c>
    </row>
    <row r="2918" spans="1:8" x14ac:dyDescent="0.2">
      <c r="A2918">
        <v>2913</v>
      </c>
      <c r="B2918" s="7">
        <f>'EstExp 12-20'!K81</f>
        <v>293000</v>
      </c>
      <c r="C2918" s="3">
        <f t="shared" si="77"/>
        <v>-290087</v>
      </c>
      <c r="E2918" s="2" t="b">
        <f t="shared" ca="1" si="76"/>
        <v>1</v>
      </c>
      <c r="F2918" s="2" cm="1">
        <f t="array" aca="1" ref="F2918" ca="1">IF(G2918&lt;&gt;"",INDIRECT("'"&amp;G2918&amp;"'!"&amp;H2918),"")</f>
        <v>293000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0</v>
      </c>
      <c r="C2999" s="3">
        <f t="shared" si="79"/>
        <v>2994</v>
      </c>
      <c r="E2999" s="2" t="b">
        <f t="shared" ca="1" si="78"/>
        <v>1</v>
      </c>
      <c r="F2999" s="2" cm="1">
        <f t="array" aca="1" ref="F2999" ca="1">IF(G2999&lt;&gt;"",INDIRECT("'"&amp;G2999&amp;"'!"&amp;H2999),"")</f>
        <v>0</v>
      </c>
      <c r="G2999" s="1582" t="s">
        <v>6961</v>
      </c>
      <c r="H2999" s="2" t="s">
        <v>4421</v>
      </c>
    </row>
    <row r="3000" spans="1:11" x14ac:dyDescent="0.2">
      <c r="A3000">
        <v>2995</v>
      </c>
      <c r="B3000" s="7">
        <f>'EstExp 12-20'!D10</f>
        <v>0</v>
      </c>
      <c r="C3000" s="3">
        <f t="shared" si="79"/>
        <v>2995</v>
      </c>
      <c r="E3000" s="2" t="b">
        <f t="shared" ca="1" si="78"/>
        <v>1</v>
      </c>
      <c r="F3000" s="2" cm="1">
        <f t="array" aca="1" ref="F3000" ca="1">IF(G3000&lt;&gt;"",INDIRECT("'"&amp;G3000&amp;"'!"&amp;H3000),"")</f>
        <v>0</v>
      </c>
      <c r="G3000" s="1582" t="s">
        <v>6961</v>
      </c>
      <c r="H3000" s="2" t="s">
        <v>4434</v>
      </c>
    </row>
    <row r="3001" spans="1:11" x14ac:dyDescent="0.2">
      <c r="A3001">
        <v>2996</v>
      </c>
      <c r="B3001" s="7">
        <f>'EstExp 12-20'!E10</f>
        <v>0</v>
      </c>
      <c r="C3001" s="3">
        <f t="shared" si="79"/>
        <v>2996</v>
      </c>
      <c r="E3001" s="2" t="b">
        <f t="shared" ca="1" si="78"/>
        <v>1</v>
      </c>
      <c r="F3001" s="2" cm="1">
        <f t="array" aca="1" ref="F3001" ca="1">IF(G3001&lt;&gt;"",INDIRECT("'"&amp;G3001&amp;"'!"&amp;H3001),"")</f>
        <v>0</v>
      </c>
      <c r="G3001" s="1582" t="s">
        <v>6961</v>
      </c>
      <c r="H3001" s="2" t="s">
        <v>4445</v>
      </c>
    </row>
    <row r="3002" spans="1:11" x14ac:dyDescent="0.2">
      <c r="A3002">
        <v>2997</v>
      </c>
      <c r="B3002" s="7">
        <f>'EstExp 12-20'!F10</f>
        <v>0</v>
      </c>
      <c r="C3002" s="3">
        <f t="shared" si="79"/>
        <v>2997</v>
      </c>
      <c r="E3002" s="2" t="b">
        <f t="shared" ca="1" si="78"/>
        <v>1</v>
      </c>
      <c r="F3002" s="2" cm="1">
        <f t="array" aca="1" ref="F3002" ca="1">IF(G3002&lt;&gt;"",INDIRECT("'"&amp;G3002&amp;"'!"&amp;H3002),"")</f>
        <v>0</v>
      </c>
      <c r="G3002" s="1582" t="s">
        <v>6961</v>
      </c>
      <c r="H3002" s="2" t="s">
        <v>4456</v>
      </c>
    </row>
    <row r="3003" spans="1:11" x14ac:dyDescent="0.2">
      <c r="A3003">
        <v>2998</v>
      </c>
      <c r="B3003" s="7">
        <f>'EstExp 12-20'!G10</f>
        <v>0</v>
      </c>
      <c r="C3003" s="3">
        <f t="shared" si="79"/>
        <v>2998</v>
      </c>
      <c r="E3003" s="2" t="b">
        <f t="shared" ca="1" si="78"/>
        <v>1</v>
      </c>
      <c r="F3003" s="2" cm="1">
        <f t="array" aca="1" ref="F3003" ca="1">IF(G3003&lt;&gt;"",INDIRECT("'"&amp;G3003&amp;"'!"&amp;H3003),"")</f>
        <v>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0</v>
      </c>
      <c r="C3006" s="3">
        <f t="shared" si="79"/>
        <v>3001</v>
      </c>
      <c r="E3006" s="2" t="b">
        <f t="shared" ca="1" si="78"/>
        <v>1</v>
      </c>
      <c r="F3006" s="2" cm="1">
        <f t="array" aca="1" ref="F3006" ca="1">IF(G3006&lt;&gt;"",INDIRECT("'"&amp;G3006&amp;"'!"&amp;H3006),"")</f>
        <v>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0</v>
      </c>
      <c r="C3008" s="3">
        <f t="shared" si="79"/>
        <v>3003</v>
      </c>
      <c r="E3008" s="2" t="b">
        <f t="shared" ca="1" si="78"/>
        <v>1</v>
      </c>
      <c r="F3008" s="2" cm="1">
        <f t="array" aca="1" ref="F3008" ca="1">IF(G3008&lt;&gt;"",INDIRECT("'"&amp;G3008&amp;"'!"&amp;H3008),"")</f>
        <v>0</v>
      </c>
      <c r="G3008" s="1582" t="s">
        <v>6961</v>
      </c>
      <c r="H3008" s="2" t="s">
        <v>5196</v>
      </c>
    </row>
    <row r="3009" spans="1:11" x14ac:dyDescent="0.2">
      <c r="A3009">
        <v>3004</v>
      </c>
      <c r="B3009" s="7">
        <f>'EstExp 12-20'!K223</f>
        <v>0</v>
      </c>
      <c r="C3009" s="3">
        <f t="shared" si="79"/>
        <v>3004</v>
      </c>
      <c r="E3009" s="2" t="b">
        <f t="shared" ca="1" si="78"/>
        <v>1</v>
      </c>
      <c r="F3009" s="2" cm="1">
        <f t="array" aca="1" ref="F3009" ca="1">IF(G3009&lt;&gt;"",INDIRECT("'"&amp;G3009&amp;"'!"&amp;H3009),"")</f>
        <v>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69889</v>
      </c>
      <c r="C3169" s="3">
        <f t="shared" ref="C3169:C3205" si="85">A3169-B3169</f>
        <v>-66725</v>
      </c>
      <c r="E3169" s="2" t="b">
        <f t="shared" ca="1" si="84"/>
        <v>1</v>
      </c>
      <c r="F3169" s="2" cm="1">
        <f t="array" aca="1" ref="F3169" ca="1">IF(G3169&lt;&gt;"",INDIRECT("'"&amp;G3169&amp;"'!"&amp;H3169),"")</f>
        <v>69889</v>
      </c>
      <c r="G3169" s="1582" t="s">
        <v>6959</v>
      </c>
      <c r="H3169" s="2" t="s">
        <v>5207</v>
      </c>
    </row>
    <row r="3170" spans="1:11" x14ac:dyDescent="0.2">
      <c r="A3170">
        <v>3165</v>
      </c>
      <c r="B3170" s="7">
        <f>'BudgetSum 2-4'!I9</f>
        <v>69889</v>
      </c>
      <c r="C3170" s="3">
        <f t="shared" si="85"/>
        <v>-66724</v>
      </c>
      <c r="E3170" s="2" t="b">
        <f t="shared" ca="1" si="84"/>
        <v>1</v>
      </c>
      <c r="F3170" s="2" cm="1">
        <f t="array" aca="1" ref="F3170" ca="1">IF(G3170&lt;&gt;"",INDIRECT("'"&amp;G3170&amp;"'!"&amp;H3170),"")</f>
        <v>69889</v>
      </c>
      <c r="G3170" s="1582" t="s">
        <v>6959</v>
      </c>
      <c r="H3170" s="2" t="s">
        <v>5208</v>
      </c>
    </row>
    <row r="3171" spans="1:11" x14ac:dyDescent="0.2">
      <c r="A3171">
        <v>3166</v>
      </c>
      <c r="B3171" s="7">
        <f>'BudgetSum 2-4'!I22</f>
        <v>69889</v>
      </c>
      <c r="C3171" s="3">
        <f t="shared" si="85"/>
        <v>-66723</v>
      </c>
      <c r="E3171" s="2" t="b">
        <f t="shared" ca="1" si="84"/>
        <v>1</v>
      </c>
      <c r="F3171" s="2" cm="1">
        <f t="array" aca="1" ref="F3171" ca="1">IF(G3171&lt;&gt;"",INDIRECT("'"&amp;G3171&amp;"'!"&amp;H3171),"")</f>
        <v>69889</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6959</v>
      </c>
      <c r="H3219" s="2" t="s">
        <v>5226</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6959</v>
      </c>
      <c r="H3220" s="2" t="s">
        <v>5227</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295503</v>
      </c>
      <c r="C3265" s="3">
        <f t="shared" si="87"/>
        <v>-292243</v>
      </c>
      <c r="E3265" s="2" t="b">
        <f t="shared" ca="1" si="86"/>
        <v>1</v>
      </c>
      <c r="F3265" s="2" cm="1">
        <f t="array" aca="1" ref="F3265" ca="1">IF(G3265&lt;&gt;"",INDIRECT("'"&amp;G3265&amp;"'!"&amp;H3265),"")</f>
        <v>295503</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365392</v>
      </c>
      <c r="C3267" s="3">
        <f t="shared" si="87"/>
        <v>-362130</v>
      </c>
      <c r="E3267" s="2" t="b">
        <f t="shared" ca="1" si="88"/>
        <v>1</v>
      </c>
      <c r="F3267" s="2" cm="1">
        <f t="array" aca="1" ref="F3267" ca="1">IF(G3267&lt;&gt;"",INDIRECT("'"&amp;G3267&amp;"'!"&amp;H3267),"")</f>
        <v>365392</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779734</v>
      </c>
      <c r="C3310" s="3">
        <f t="shared" ref="C3310:C3335" si="89">A3310-B3310</f>
        <v>-776429</v>
      </c>
      <c r="E3310" s="2" t="b">
        <f t="shared" ca="1" si="88"/>
        <v>1</v>
      </c>
      <c r="F3310" s="2" cm="1">
        <f t="array" aca="1" ref="F3310" ca="1">IF(G3310&lt;&gt;"",INDIRECT("'"&amp;G3310&amp;"'!"&amp;H3310),"")</f>
        <v>779734</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114832</v>
      </c>
      <c r="C3312" s="3">
        <f t="shared" si="89"/>
        <v>-111525</v>
      </c>
      <c r="E3312" s="2" t="b">
        <f t="shared" ca="1" si="88"/>
        <v>1</v>
      </c>
      <c r="F3312" s="2" cm="1">
        <f t="array" aca="1" ref="F3312" ca="1">IF(G3312&lt;&gt;"",INDIRECT("'"&amp;G3312&amp;"'!"&amp;H3312),"")</f>
        <v>114832</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2500</v>
      </c>
      <c r="C3314" s="3">
        <f t="shared" si="89"/>
        <v>809</v>
      </c>
      <c r="E3314" s="2" t="b">
        <f t="shared" ca="1" si="88"/>
        <v>1</v>
      </c>
      <c r="F3314" s="2" cm="1">
        <f t="array" aca="1" ref="F3314" ca="1">IF(G3314&lt;&gt;"",INDIRECT("'"&amp;G3314&amp;"'!"&amp;H3314),"")</f>
        <v>2500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6000</v>
      </c>
      <c r="C3316" s="3">
        <f t="shared" si="89"/>
        <v>-2689</v>
      </c>
      <c r="E3316" s="2" t="b">
        <f t="shared" ca="1" si="88"/>
        <v>1</v>
      </c>
      <c r="F3316" s="2" cm="1">
        <f t="array" aca="1" ref="F3316" ca="1">IF(G3316&lt;&gt;"",INDIRECT("'"&amp;G3316&amp;"'!"&amp;H3316),"")</f>
        <v>6000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0</v>
      </c>
      <c r="C3318" s="3">
        <f t="shared" si="89"/>
        <v>3313</v>
      </c>
      <c r="E3318" s="2" t="b">
        <f t="shared" ca="1" si="88"/>
        <v>1</v>
      </c>
      <c r="F3318" s="2" cm="1">
        <f t="array" aca="1" ref="F3318" ca="1">IF(G3318&lt;&gt;"",INDIRECT("'"&amp;G3318&amp;"'!"&amp;H3318),"")</f>
        <v>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0</v>
      </c>
      <c r="C3320" s="3">
        <f t="shared" si="89"/>
        <v>3315</v>
      </c>
      <c r="E3320" s="2" t="b">
        <f t="shared" ca="1" si="88"/>
        <v>1</v>
      </c>
      <c r="F3320" s="2" cm="1">
        <f t="array" aca="1" ref="F3320" ca="1">IF(G3320&lt;&gt;"",INDIRECT("'"&amp;G3320&amp;"'!"&amp;H3320),"")</f>
        <v>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903066</v>
      </c>
      <c r="C3324" s="3">
        <f t="shared" si="89"/>
        <v>-899747</v>
      </c>
      <c r="E3324" s="2" t="b">
        <f t="shared" ca="1" si="88"/>
        <v>1</v>
      </c>
      <c r="F3324" s="2" cm="1">
        <f t="array" aca="1" ref="F3324" ca="1">IF(G3324&lt;&gt;"",INDIRECT("'"&amp;G3324&amp;"'!"&amp;H3324),"")</f>
        <v>903066</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52960</v>
      </c>
      <c r="C3331" s="3">
        <f t="shared" si="89"/>
        <v>-49634</v>
      </c>
      <c r="E3331" s="2" t="b">
        <f t="shared" ca="1" si="90"/>
        <v>1</v>
      </c>
      <c r="F3331" s="2" cm="1">
        <f t="array" aca="1" ref="F3331" ca="1">IF(G3331&lt;&gt;"",INDIRECT("'"&amp;G3331&amp;"'!"&amp;H3331),"")</f>
        <v>52960</v>
      </c>
      <c r="G3331" s="1582" t="s">
        <v>6961</v>
      </c>
      <c r="H3331" s="2" t="s">
        <v>5239</v>
      </c>
    </row>
    <row r="3332" spans="1:11" x14ac:dyDescent="0.2">
      <c r="A3332">
        <v>3327</v>
      </c>
      <c r="B3332" s="7">
        <f>'EstExp 12-20'!D221</f>
        <v>26392</v>
      </c>
      <c r="C3332" s="3">
        <f t="shared" si="89"/>
        <v>-23065</v>
      </c>
      <c r="E3332" s="2" t="b">
        <f t="shared" ca="1" si="90"/>
        <v>1</v>
      </c>
      <c r="F3332" s="2" cm="1">
        <f t="array" aca="1" ref="F3332" ca="1">IF(G3332&lt;&gt;"",INDIRECT("'"&amp;G3332&amp;"'!"&amp;H3332),"")</f>
        <v>26392</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52960</v>
      </c>
      <c r="C3334" s="3">
        <f t="shared" si="89"/>
        <v>-49631</v>
      </c>
      <c r="E3334" s="2" t="b">
        <f t="shared" ca="1" si="90"/>
        <v>1</v>
      </c>
      <c r="F3334" s="2" cm="1">
        <f t="array" aca="1" ref="F3334" ca="1">IF(G3334&lt;&gt;"",INDIRECT("'"&amp;G3334&amp;"'!"&amp;H3334),"")</f>
        <v>52960</v>
      </c>
      <c r="G3334" s="1582" t="s">
        <v>6961</v>
      </c>
      <c r="H3334" s="2" t="s">
        <v>5242</v>
      </c>
    </row>
    <row r="3335" spans="1:11" x14ac:dyDescent="0.2">
      <c r="A3335">
        <v>3330</v>
      </c>
      <c r="B3335" s="7">
        <f>'EstExp 12-20'!K221</f>
        <v>26392</v>
      </c>
      <c r="C3335" s="3">
        <f t="shared" si="89"/>
        <v>-23062</v>
      </c>
      <c r="E3335" s="2" t="b">
        <f t="shared" ca="1" si="90"/>
        <v>1</v>
      </c>
      <c r="F3335" s="2" cm="1">
        <f t="array" aca="1" ref="F3335" ca="1">IF(G3335&lt;&gt;"",INDIRECT("'"&amp;G3335&amp;"'!"&amp;H3335),"")</f>
        <v>26392</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100</v>
      </c>
      <c r="C3349" s="3">
        <f t="shared" si="91"/>
        <v>3244</v>
      </c>
      <c r="E3349" s="2" t="b">
        <f t="shared" ca="1" si="90"/>
        <v>1</v>
      </c>
      <c r="F3349" s="2" cm="1">
        <f t="array" aca="1" ref="F3349" ca="1">IF(G3349&lt;&gt;"",INDIRECT("'"&amp;G3349&amp;"'!"&amp;H3349),"")</f>
        <v>100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4982190</v>
      </c>
      <c r="C3355" s="3">
        <f t="shared" si="91"/>
        <v>-4978840</v>
      </c>
      <c r="E3355" s="2" t="b">
        <f t="shared" ca="1" si="90"/>
        <v>1</v>
      </c>
      <c r="F3355" s="2" cm="1">
        <f t="array" aca="1" ref="F3355" ca="1">IF(G3355&lt;&gt;"",INDIRECT("'"&amp;G3355&amp;"'!"&amp;H3355),"")</f>
        <v>4982190</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514068</v>
      </c>
      <c r="C3358" s="3">
        <f t="shared" si="91"/>
        <v>-510715</v>
      </c>
      <c r="E3358" s="2" t="b">
        <f t="shared" ca="1" si="90"/>
        <v>1</v>
      </c>
      <c r="F3358" s="2" cm="1">
        <f t="array" aca="1" ref="F3358" ca="1">IF(G3358&lt;&gt;"",INDIRECT("'"&amp;G3358&amp;"'!"&amp;H3358),"")</f>
        <v>514068</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231837</v>
      </c>
      <c r="C3361" s="3">
        <f t="shared" si="91"/>
        <v>-228481</v>
      </c>
      <c r="E3361" s="2" t="b">
        <f t="shared" ca="1" si="90"/>
        <v>1</v>
      </c>
      <c r="F3361" s="2" cm="1">
        <f t="array" aca="1" ref="F3361" ca="1">IF(G3361&lt;&gt;"",INDIRECT("'"&amp;G3361&amp;"'!"&amp;H3361),"")</f>
        <v>231837</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351894</v>
      </c>
      <c r="C3363" s="3">
        <f t="shared" si="91"/>
        <v>-348536</v>
      </c>
      <c r="E3363" s="2" t="b">
        <f t="shared" ca="1" si="90"/>
        <v>1</v>
      </c>
      <c r="F3363" s="2" cm="1">
        <f t="array" aca="1" ref="F3363" ca="1">IF(G3363&lt;&gt;"",INDIRECT("'"&amp;G3363&amp;"'!"&amp;H3363),"")</f>
        <v>351894</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108276</v>
      </c>
      <c r="C3366" s="3">
        <f t="shared" si="91"/>
        <v>-104915</v>
      </c>
      <c r="E3366" s="2" t="b">
        <f t="shared" ca="1" si="90"/>
        <v>1</v>
      </c>
      <c r="F3366" s="2" cm="1">
        <f t="array" aca="1" ref="F3366" ca="1">IF(G3366&lt;&gt;"",INDIRECT("'"&amp;G3366&amp;"'!"&amp;H3366),"")</f>
        <v>108276</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0</v>
      </c>
      <c r="C3369" s="3">
        <f t="shared" si="91"/>
        <v>3364</v>
      </c>
      <c r="E3369" s="2" t="b">
        <f t="shared" ca="1" si="90"/>
        <v>1</v>
      </c>
      <c r="F3369" s="2" cm="1">
        <f t="array" aca="1" ref="F3369" ca="1">IF(G3369&lt;&gt;"",INDIRECT("'"&amp;G3369&amp;"'!"&amp;H3369),"")</f>
        <v>0</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295503</v>
      </c>
      <c r="C3371" s="3">
        <f t="shared" si="91"/>
        <v>-292137</v>
      </c>
      <c r="E3371" s="2" t="b">
        <f t="shared" ca="1" si="90"/>
        <v>1</v>
      </c>
      <c r="F3371" s="2" cm="1">
        <f t="array" aca="1" ref="F3371" ca="1">IF(G3371&lt;&gt;"",INDIRECT("'"&amp;G3371&amp;"'!"&amp;H3371),"")</f>
        <v>295503</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0</v>
      </c>
      <c r="C3490" s="3">
        <f t="shared" si="95"/>
        <v>3485</v>
      </c>
      <c r="E3490" s="2" t="b">
        <f t="shared" ca="1" si="94"/>
        <v>1</v>
      </c>
      <c r="F3490" s="2" cm="1">
        <f t="array" aca="1" ref="F3490" ca="1">IF(G3490&lt;&gt;"",INDIRECT("'"&amp;G3490&amp;"'!"&amp;H3490),"")</f>
        <v>0</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0</v>
      </c>
      <c r="C3513" s="3">
        <f t="shared" si="95"/>
        <v>3508</v>
      </c>
      <c r="E3513" s="2" t="b">
        <f t="shared" ca="1" si="94"/>
        <v>1</v>
      </c>
      <c r="F3513" s="2" cm="1">
        <f t="array" aca="1" ref="F3513" ca="1">IF(G3513&lt;&gt;"",INDIRECT("'"&amp;G3513&amp;"'!"&amp;H3513),"")</f>
        <v>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0</v>
      </c>
      <c r="C3515" s="3">
        <f t="shared" si="95"/>
        <v>3510</v>
      </c>
      <c r="E3515" s="2" t="b">
        <f t="shared" ca="1" si="94"/>
        <v>1</v>
      </c>
      <c r="F3515" s="2" cm="1">
        <f t="array" aca="1" ref="F3515" ca="1">IF(G3515&lt;&gt;"",INDIRECT("'"&amp;G3515&amp;"'!"&amp;H3515),"")</f>
        <v>0</v>
      </c>
      <c r="G3515" s="1582" t="s">
        <v>6959</v>
      </c>
      <c r="H3515" s="2" t="s">
        <v>5261</v>
      </c>
    </row>
    <row r="3516" spans="1:8" x14ac:dyDescent="0.2">
      <c r="A3516">
        <v>3511</v>
      </c>
      <c r="B3516" s="7">
        <f>'BudgetSum 2-4'!K14</f>
        <v>0</v>
      </c>
      <c r="C3516" s="3">
        <f t="shared" si="95"/>
        <v>3511</v>
      </c>
      <c r="E3516" s="2" t="b">
        <f t="shared" ca="1" si="94"/>
        <v>1</v>
      </c>
      <c r="F3516" s="2" cm="1">
        <f t="array" aca="1" ref="F3516" ca="1">IF(G3516&lt;&gt;"",INDIRECT("'"&amp;G3516&amp;"'!"&amp;H3516),"")</f>
        <v>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0</v>
      </c>
      <c r="C3519" s="3">
        <f t="shared" si="95"/>
        <v>3514</v>
      </c>
      <c r="E3519" s="2" t="b">
        <f t="shared" ca="1" si="94"/>
        <v>1</v>
      </c>
      <c r="F3519" s="2" cm="1">
        <f t="array" aca="1" ref="F3519" ca="1">IF(G3519&lt;&gt;"",INDIRECT("'"&amp;G3519&amp;"'!"&amp;H3519),"")</f>
        <v>0</v>
      </c>
      <c r="G3519" s="1582" t="s">
        <v>6959</v>
      </c>
      <c r="H3519" s="2" t="s">
        <v>4501</v>
      </c>
    </row>
    <row r="3520" spans="1:8" x14ac:dyDescent="0.2">
      <c r="A3520">
        <v>3515</v>
      </c>
      <c r="B3520" s="7">
        <f>'BudgetSum 2-4'!K22</f>
        <v>0</v>
      </c>
      <c r="C3520" s="3">
        <f t="shared" si="95"/>
        <v>3515</v>
      </c>
      <c r="E3520" s="2" t="b">
        <f t="shared" ca="1" si="94"/>
        <v>1</v>
      </c>
      <c r="F3520" s="2" cm="1">
        <f t="array" aca="1" ref="F3520" ca="1">IF(G3520&lt;&gt;"",INDIRECT("'"&amp;G3520&amp;"'!"&amp;H3520),"")</f>
        <v>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0</v>
      </c>
      <c r="C3533" s="3">
        <f t="shared" si="97"/>
        <v>3528</v>
      </c>
      <c r="E3533" s="2" t="b">
        <f t="shared" ca="1" si="96"/>
        <v>1</v>
      </c>
      <c r="F3533" s="2" cm="1">
        <f t="array" aca="1" ref="F3533" ca="1">IF(G3533&lt;&gt;"",INDIRECT("'"&amp;G3533&amp;"'!"&amp;H3533),"")</f>
        <v>0</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0</v>
      </c>
      <c r="C3535" s="3">
        <f t="shared" si="97"/>
        <v>3530</v>
      </c>
      <c r="E3535" s="2" t="b">
        <f t="shared" ca="1" si="96"/>
        <v>1</v>
      </c>
      <c r="F3535" s="2" cm="1">
        <f t="array" aca="1" ref="F3535" ca="1">IF(G3535&lt;&gt;"",INDIRECT("'"&amp;G3535&amp;"'!"&amp;H3535),"")</f>
        <v>0</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6961</v>
      </c>
      <c r="H3576" s="2" t="s">
        <v>5283</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6961</v>
      </c>
      <c r="H3579" s="2" t="s">
        <v>5286</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6961</v>
      </c>
      <c r="H3597" s="2" t="s">
        <v>5301</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0</v>
      </c>
      <c r="C3613" s="3">
        <f t="shared" si="99"/>
        <v>3608</v>
      </c>
      <c r="E3613" s="2" t="b">
        <f t="shared" ca="1" si="98"/>
        <v>1</v>
      </c>
      <c r="F3613" s="2" cm="1">
        <f t="array" aca="1" ref="F3613" ca="1">IF(G3613&lt;&gt;"",INDIRECT("'"&amp;G3613&amp;"'!"&amp;H3613),"")</f>
        <v>0</v>
      </c>
      <c r="G3613" s="1582" t="s">
        <v>6961</v>
      </c>
      <c r="H3613" s="2" t="s">
        <v>5311</v>
      </c>
    </row>
    <row r="3614" spans="1:19" x14ac:dyDescent="0.2">
      <c r="A3614">
        <v>3609</v>
      </c>
      <c r="B3614" s="7">
        <f>'EstExp 12-20'!K436</f>
        <v>0</v>
      </c>
      <c r="C3614" s="3">
        <f t="shared" si="99"/>
        <v>3609</v>
      </c>
      <c r="E3614" s="2" t="b">
        <f t="shared" ca="1" si="98"/>
        <v>1</v>
      </c>
      <c r="F3614" s="2" cm="1">
        <f t="array" aca="1" ref="F3614" ca="1">IF(G3614&lt;&gt;"",INDIRECT("'"&amp;G3614&amp;"'!"&amp;H3614),"")</f>
        <v>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0</v>
      </c>
      <c r="C3616" s="3">
        <f t="shared" si="99"/>
        <v>3611</v>
      </c>
      <c r="E3616" s="2" t="b">
        <f t="shared" ca="1" si="98"/>
        <v>1</v>
      </c>
      <c r="F3616" s="2" cm="1">
        <f t="array" aca="1" ref="F3616" ca="1">IF(G3616&lt;&gt;"",INDIRECT("'"&amp;G3616&amp;"'!"&amp;H3616),"")</f>
        <v>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0</v>
      </c>
      <c r="C3625" s="3">
        <f t="shared" si="99"/>
        <v>3620</v>
      </c>
      <c r="E3625" s="2" t="b">
        <f t="shared" ca="1" si="98"/>
        <v>1</v>
      </c>
      <c r="F3625" s="2" cm="1">
        <f t="array" aca="1" ref="F3625" ca="1">IF(G3625&lt;&gt;"",INDIRECT("'"&amp;G3625&amp;"'!"&amp;H3625),"")</f>
        <v>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9771480</v>
      </c>
      <c r="C4066" s="3">
        <f t="shared" si="109"/>
        <v>-9767419</v>
      </c>
      <c r="E4066" s="2" t="b">
        <f t="shared" ca="1" si="108"/>
        <v>1</v>
      </c>
      <c r="F4066" s="2" cm="1">
        <f t="array" aca="1" ref="F4066" ca="1">IF(G4066&lt;&gt;"",INDIRECT("'"&amp;G4066&amp;"'!"&amp;H4066),"")</f>
        <v>9771480</v>
      </c>
      <c r="G4066" s="1582" t="s">
        <v>6959</v>
      </c>
      <c r="H4066" s="2" t="s">
        <v>4422</v>
      </c>
    </row>
    <row r="4067" spans="1:8" x14ac:dyDescent="0.2">
      <c r="A4067">
        <v>4062</v>
      </c>
      <c r="B4067" s="7">
        <f>'BudgetSum 2-4'!D11</f>
        <v>1222591</v>
      </c>
      <c r="C4067" s="3">
        <f t="shared" si="109"/>
        <v>-1218529</v>
      </c>
      <c r="E4067" s="2" t="b">
        <f t="shared" ca="1" si="108"/>
        <v>1</v>
      </c>
      <c r="F4067" s="2" cm="1">
        <f t="array" aca="1" ref="F4067" ca="1">IF(G4067&lt;&gt;"",INDIRECT("'"&amp;G4067&amp;"'!"&amp;H4067),"")</f>
        <v>1222591</v>
      </c>
      <c r="G4067" s="1582" t="s">
        <v>6959</v>
      </c>
      <c r="H4067" s="2" t="s">
        <v>4435</v>
      </c>
    </row>
    <row r="4068" spans="1:8" x14ac:dyDescent="0.2">
      <c r="A4068">
        <v>4063</v>
      </c>
      <c r="B4068" s="7">
        <f>'BudgetSum 2-4'!E11</f>
        <v>453066</v>
      </c>
      <c r="C4068" s="3">
        <f t="shared" si="109"/>
        <v>-449003</v>
      </c>
      <c r="E4068" s="2" t="b">
        <f t="shared" ca="1" si="108"/>
        <v>1</v>
      </c>
      <c r="F4068" s="2" cm="1">
        <f t="array" aca="1" ref="F4068" ca="1">IF(G4068&lt;&gt;"",INDIRECT("'"&amp;G4068&amp;"'!"&amp;H4068),"")</f>
        <v>453066</v>
      </c>
      <c r="G4068" s="1582" t="s">
        <v>6959</v>
      </c>
      <c r="H4068" s="2" t="s">
        <v>4446</v>
      </c>
    </row>
    <row r="4069" spans="1:8" x14ac:dyDescent="0.2">
      <c r="A4069">
        <v>4064</v>
      </c>
      <c r="B4069" s="7">
        <f>'BudgetSum 2-4'!F11</f>
        <v>757774</v>
      </c>
      <c r="C4069" s="3">
        <f t="shared" si="109"/>
        <v>-753710</v>
      </c>
      <c r="E4069" s="2" t="b">
        <f t="shared" ca="1" si="108"/>
        <v>1</v>
      </c>
      <c r="F4069" s="2" cm="1">
        <f t="array" aca="1" ref="F4069" ca="1">IF(G4069&lt;&gt;"",INDIRECT("'"&amp;G4069&amp;"'!"&amp;H4069),"")</f>
        <v>757774</v>
      </c>
      <c r="G4069" s="1582" t="s">
        <v>6959</v>
      </c>
      <c r="H4069" s="2" t="s">
        <v>4457</v>
      </c>
    </row>
    <row r="4070" spans="1:8" x14ac:dyDescent="0.2">
      <c r="A4070">
        <v>4065</v>
      </c>
      <c r="B4070" s="7">
        <f>'BudgetSum 2-4'!G11</f>
        <v>356060</v>
      </c>
      <c r="C4070" s="3">
        <f t="shared" si="109"/>
        <v>-351995</v>
      </c>
      <c r="E4070" s="2" t="b">
        <f t="shared" ca="1" si="108"/>
        <v>1</v>
      </c>
      <c r="F4070" s="2" cm="1">
        <f t="array" aca="1" ref="F4070" ca="1">IF(G4070&lt;&gt;"",INDIRECT("'"&amp;G4070&amp;"'!"&amp;H4070),"")</f>
        <v>356060</v>
      </c>
      <c r="G4070" s="1582" t="s">
        <v>6959</v>
      </c>
      <c r="H4070" s="2" t="s">
        <v>4468</v>
      </c>
    </row>
    <row r="4071" spans="1:8" x14ac:dyDescent="0.2">
      <c r="A4071">
        <v>4066</v>
      </c>
      <c r="B4071" s="7">
        <f>'BudgetSum 2-4'!H11</f>
        <v>0</v>
      </c>
      <c r="C4071" s="3">
        <f t="shared" si="109"/>
        <v>4066</v>
      </c>
      <c r="E4071" s="2" t="b">
        <f t="shared" ca="1" si="108"/>
        <v>1</v>
      </c>
      <c r="F4071" s="2" cm="1">
        <f t="array" aca="1" ref="F4071" ca="1">IF(G4071&lt;&gt;"",INDIRECT("'"&amp;G4071&amp;"'!"&amp;H4071),"")</f>
        <v>0</v>
      </c>
      <c r="G4071" s="1582" t="s">
        <v>6959</v>
      </c>
      <c r="H4071" s="2" t="s">
        <v>4478</v>
      </c>
    </row>
    <row r="4072" spans="1:8" x14ac:dyDescent="0.2">
      <c r="A4072">
        <v>4067</v>
      </c>
      <c r="B4072" s="7">
        <f>'BudgetSum 2-4'!I11</f>
        <v>69889</v>
      </c>
      <c r="C4072" s="3">
        <f t="shared" si="109"/>
        <v>-65822</v>
      </c>
      <c r="E4072" s="2" t="b">
        <f t="shared" ca="1" si="108"/>
        <v>1</v>
      </c>
      <c r="F4072" s="2" cm="1">
        <f t="array" aca="1" ref="F4072" ca="1">IF(G4072&lt;&gt;"",INDIRECT("'"&amp;G4072&amp;"'!"&amp;H4072),"")</f>
        <v>69889</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0</v>
      </c>
      <c r="C4074" s="3">
        <f t="shared" si="109"/>
        <v>4069</v>
      </c>
      <c r="E4074" s="2" t="b">
        <f t="shared" ca="1" si="108"/>
        <v>1</v>
      </c>
      <c r="F4074" s="2" cm="1">
        <f t="array" aca="1" ref="F4074" ca="1">IF(G4074&lt;&gt;"",INDIRECT("'"&amp;G4074&amp;"'!"&amp;H4074),"")</f>
        <v>0</v>
      </c>
      <c r="G4074" s="1582" t="s">
        <v>6959</v>
      </c>
      <c r="H4074" s="2" t="s">
        <v>4496</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9657375</v>
      </c>
      <c r="C4080" s="3">
        <f t="shared" si="109"/>
        <v>-9653300</v>
      </c>
      <c r="E4080" s="2" t="b">
        <f t="shared" ca="1" si="108"/>
        <v>1</v>
      </c>
      <c r="F4080" s="2" cm="1">
        <f t="array" aca="1" ref="F4080" ca="1">IF(G4080&lt;&gt;"",INDIRECT("'"&amp;G4080&amp;"'!"&amp;H4080),"")</f>
        <v>9657375</v>
      </c>
      <c r="G4080" s="1582" t="s">
        <v>6959</v>
      </c>
      <c r="H4080" s="2" t="s">
        <v>4431</v>
      </c>
    </row>
    <row r="4081" spans="1:11" x14ac:dyDescent="0.2">
      <c r="A4081">
        <v>4076</v>
      </c>
      <c r="B4081" s="7">
        <f>'BudgetSum 2-4'!D21</f>
        <v>1186722</v>
      </c>
      <c r="C4081" s="3">
        <f t="shared" si="109"/>
        <v>-1182646</v>
      </c>
      <c r="E4081" s="2" t="b">
        <f t="shared" ca="1" si="108"/>
        <v>1</v>
      </c>
      <c r="F4081" s="2" cm="1">
        <f t="array" aca="1" ref="F4081" ca="1">IF(G4081&lt;&gt;"",INDIRECT("'"&amp;G4081&amp;"'!"&amp;H4081),"")</f>
        <v>1186722</v>
      </c>
      <c r="G4081" s="1582" t="s">
        <v>6959</v>
      </c>
      <c r="H4081" s="2" t="s">
        <v>4443</v>
      </c>
    </row>
    <row r="4082" spans="1:11" x14ac:dyDescent="0.2">
      <c r="A4082">
        <v>4077</v>
      </c>
      <c r="B4082" s="7">
        <f>'BudgetSum 2-4'!E21</f>
        <v>428960</v>
      </c>
      <c r="C4082" s="3">
        <f t="shared" si="109"/>
        <v>-424883</v>
      </c>
      <c r="E4082" s="2" t="b">
        <f t="shared" ca="1" si="108"/>
        <v>1</v>
      </c>
      <c r="F4082" s="2" cm="1">
        <f t="array" aca="1" ref="F4082" ca="1">IF(G4082&lt;&gt;"",INDIRECT("'"&amp;G4082&amp;"'!"&amp;H4082),"")</f>
        <v>428960</v>
      </c>
      <c r="G4082" s="1582" t="s">
        <v>6959</v>
      </c>
      <c r="H4082" s="2" t="s">
        <v>4453</v>
      </c>
    </row>
    <row r="4083" spans="1:11" x14ac:dyDescent="0.2">
      <c r="A4083">
        <v>4078</v>
      </c>
      <c r="B4083" s="7">
        <f>'BudgetSum 2-4'!F21</f>
        <v>686359</v>
      </c>
      <c r="C4083" s="3">
        <f t="shared" si="109"/>
        <v>-682281</v>
      </c>
      <c r="E4083" s="2" t="b">
        <f t="shared" ca="1" si="108"/>
        <v>1</v>
      </c>
      <c r="F4083" s="2" cm="1">
        <f t="array" aca="1" ref="F4083" ca="1">IF(G4083&lt;&gt;"",INDIRECT("'"&amp;G4083&amp;"'!"&amp;H4083),"")</f>
        <v>686359</v>
      </c>
      <c r="G4083" s="1582" t="s">
        <v>6959</v>
      </c>
      <c r="H4083" s="2" t="s">
        <v>4465</v>
      </c>
    </row>
    <row r="4084" spans="1:11" x14ac:dyDescent="0.2">
      <c r="A4084">
        <v>4079</v>
      </c>
      <c r="B4084" s="7">
        <f>'BudgetSum 2-4'!G21</f>
        <v>288329</v>
      </c>
      <c r="C4084" s="3">
        <f t="shared" si="109"/>
        <v>-284250</v>
      </c>
      <c r="E4084" s="2" t="b">
        <f t="shared" ca="1" si="108"/>
        <v>1</v>
      </c>
      <c r="F4084" s="2" cm="1">
        <f t="array" aca="1" ref="F4084" ca="1">IF(G4084&lt;&gt;"",INDIRECT("'"&amp;G4084&amp;"'!"&amp;H4084),"")</f>
        <v>288329</v>
      </c>
      <c r="G4084" s="1582" t="s">
        <v>6959</v>
      </c>
      <c r="H4084" s="2" t="s">
        <v>4475</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0</v>
      </c>
      <c r="C4088" s="3">
        <f t="shared" si="109"/>
        <v>4083</v>
      </c>
      <c r="E4088" s="2" t="b">
        <f t="shared" ca="1" si="108"/>
        <v>1</v>
      </c>
      <c r="F4088" s="2" cm="1">
        <f t="array" aca="1" ref="F4088" ca="1">IF(G4088&lt;&gt;"",INDIRECT("'"&amp;G4088&amp;"'!"&amp;H4088),"")</f>
        <v>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0</v>
      </c>
      <c r="C4154" s="3">
        <f t="shared" si="111"/>
        <v>4149</v>
      </c>
      <c r="E4154" s="2" t="b">
        <f t="shared" ca="1" si="110"/>
        <v>1</v>
      </c>
      <c r="F4154" s="2" cm="1">
        <f t="array" aca="1" ref="F4154" ca="1">IF(G4154&lt;&gt;"",INDIRECT("'"&amp;G4154&amp;"'!"&amp;H4154),"")</f>
        <v>0</v>
      </c>
      <c r="G4154" s="1582" t="s">
        <v>6961</v>
      </c>
      <c r="H4154" s="2" t="s">
        <v>5360</v>
      </c>
    </row>
    <row r="4155" spans="1:8" x14ac:dyDescent="0.2">
      <c r="A4155">
        <v>4150</v>
      </c>
      <c r="B4155" s="7">
        <f>'EstExp 12-20'!K210</f>
        <v>0</v>
      </c>
      <c r="C4155" s="3">
        <f t="shared" si="111"/>
        <v>4150</v>
      </c>
      <c r="E4155" s="2" t="b">
        <f t="shared" ca="1" si="110"/>
        <v>1</v>
      </c>
      <c r="F4155" s="2" cm="1">
        <f t="array" aca="1" ref="F4155" ca="1">IF(G4155&lt;&gt;"",INDIRECT("'"&amp;G4155&amp;"'!"&amp;H4155),"")</f>
        <v>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0</v>
      </c>
      <c r="C4273" s="3">
        <f t="shared" si="115"/>
        <v>4268</v>
      </c>
      <c r="E4273" s="2" t="b">
        <f t="shared" ca="1" si="114"/>
        <v>1</v>
      </c>
      <c r="F4273" s="2" cm="1">
        <f t="array" aca="1" ref="F4273" ca="1">IF(G4273&lt;&gt;"",INDIRECT("'"&amp;G4273&amp;"'!"&amp;H4273),"")</f>
        <v>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0</v>
      </c>
      <c r="C4302" s="3">
        <f t="shared" si="117"/>
        <v>4297</v>
      </c>
      <c r="E4302" s="2" t="b">
        <f t="shared" ca="1" si="116"/>
        <v>1</v>
      </c>
      <c r="F4302" s="2" cm="1">
        <f t="array" aca="1" ref="F4302" ca="1">IF(G4302&lt;&gt;"",INDIRECT("'"&amp;G4302&amp;"'!"&amp;H4302),"")</f>
        <v>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65000</v>
      </c>
      <c r="C4306" s="3">
        <f t="shared" si="117"/>
        <v>-60699</v>
      </c>
      <c r="E4306" s="2" t="b">
        <f t="shared" ca="1" si="116"/>
        <v>1</v>
      </c>
      <c r="F4306" s="2" cm="1">
        <f t="array" aca="1" ref="F4306" ca="1">IF(G4306&lt;&gt;"",INDIRECT("'"&amp;G4306&amp;"'!"&amp;H4306),"")</f>
        <v>65000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0</v>
      </c>
      <c r="C4323" s="3">
        <f t="shared" si="117"/>
        <v>4318</v>
      </c>
      <c r="E4323" s="2" t="b">
        <f t="shared" ca="1" si="116"/>
        <v>1</v>
      </c>
      <c r="F4323" s="2" cm="1">
        <f t="array" aca="1" ref="F4323" ca="1">IF(G4323&lt;&gt;"",INDIRECT("'"&amp;G4323&amp;"'!"&amp;H4323),"")</f>
        <v>0</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0</v>
      </c>
      <c r="C4339" s="3">
        <f t="shared" si="117"/>
        <v>4334</v>
      </c>
      <c r="E4339" s="2" t="b">
        <f t="shared" ca="1" si="116"/>
        <v>1</v>
      </c>
      <c r="F4339" s="2" cm="1">
        <f t="array" aca="1" ref="F4339" ca="1">IF(G4339&lt;&gt;"",INDIRECT("'"&amp;G4339&amp;"'!"&amp;H4339),"")</f>
        <v>0</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10000</v>
      </c>
      <c r="C4355" s="3">
        <f t="shared" si="117"/>
        <v>-5650</v>
      </c>
      <c r="E4355" s="2" t="b">
        <f t="shared" ca="1" si="118"/>
        <v>1</v>
      </c>
      <c r="F4355" s="2" cm="1">
        <f t="array" aca="1" ref="F4355" ca="1">IF(G4355&lt;&gt;"",INDIRECT("'"&amp;G4355&amp;"'!"&amp;H4355),"")</f>
        <v>10000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19900</v>
      </c>
      <c r="C4359" s="3">
        <f t="shared" si="117"/>
        <v>-15546</v>
      </c>
      <c r="E4359" s="2" t="b">
        <f t="shared" ca="1" si="118"/>
        <v>1</v>
      </c>
      <c r="F4359" s="2" cm="1">
        <f t="array" aca="1" ref="F4359" ca="1">IF(G4359&lt;&gt;"",INDIRECT("'"&amp;G4359&amp;"'!"&amp;H4359),"")</f>
        <v>19900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25282</v>
      </c>
      <c r="C4362" s="3">
        <f t="shared" si="119"/>
        <v>-20925</v>
      </c>
      <c r="E4362" s="2" t="b">
        <f t="shared" ca="1" si="118"/>
        <v>1</v>
      </c>
      <c r="F4362" s="2" cm="1">
        <f t="array" aca="1" ref="F4362" ca="1">IF(G4362&lt;&gt;"",INDIRECT("'"&amp;G4362&amp;"'!"&amp;H4362),"")</f>
        <v>25282</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119380</v>
      </c>
      <c r="C4796" s="3">
        <f t="shared" si="127"/>
        <v>-114589</v>
      </c>
      <c r="E4796" s="2" t="b">
        <f t="shared" ca="1" si="126"/>
        <v>1</v>
      </c>
      <c r="F4796" s="2" cm="1">
        <f t="array" aca="1" ref="F4796" ca="1">IF(G4796&lt;&gt;"",INDIRECT("'"&amp;G4796&amp;"'!"&amp;H4796),"")</f>
        <v>119380</v>
      </c>
      <c r="G4796" s="1582" t="s">
        <v>6962</v>
      </c>
      <c r="H4796" s="2" t="s">
        <v>5451</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0</v>
      </c>
      <c r="C4970" s="3">
        <f t="shared" si="133"/>
        <v>4965</v>
      </c>
      <c r="E4970" s="2" t="b">
        <f t="shared" ca="1" si="132"/>
        <v>1</v>
      </c>
      <c r="F4970" s="2" cm="1">
        <f t="array" aca="1" ref="F4970" ca="1">IF(G4970&lt;&gt;"",INDIRECT("'"&amp;G4970&amp;"'!"&amp;H4970),"")</f>
        <v>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5001481</v>
      </c>
      <c r="C5005" s="3">
        <f t="shared" si="135"/>
        <v>-4996481</v>
      </c>
      <c r="E5005" s="2" t="b">
        <f t="shared" ca="1" si="134"/>
        <v>1</v>
      </c>
      <c r="F5005" s="2" cm="1">
        <f t="array" aca="1" ref="F5005" ca="1">IF(G5005&lt;&gt;"",INDIRECT("'"&amp;G5005&amp;"'!"&amp;H5005),"")</f>
        <v>5001481</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25773</v>
      </c>
      <c r="C5007" s="3">
        <f t="shared" si="135"/>
        <v>-20771</v>
      </c>
      <c r="E5007" s="2" t="b">
        <f t="shared" ca="1" si="134"/>
        <v>1</v>
      </c>
      <c r="F5007" s="2" cm="1">
        <f t="array" aca="1" ref="F5007" ca="1">IF(G5007&lt;&gt;"",INDIRECT("'"&amp;G5007&amp;"'!"&amp;H5007),"")</f>
        <v>25773</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5027254</v>
      </c>
      <c r="C5010" s="3">
        <f t="shared" si="135"/>
        <v>-5022249</v>
      </c>
      <c r="E5010" s="2" t="b">
        <f t="shared" ca="1" si="134"/>
        <v>1</v>
      </c>
      <c r="F5010" s="2" cm="1">
        <f t="array" aca="1" ref="F5010" ca="1">IF(G5010&lt;&gt;"",INDIRECT("'"&amp;G5010&amp;"'!"&amp;H5010),"")</f>
        <v>5027254</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81000</v>
      </c>
      <c r="C5013" s="3">
        <f t="shared" si="135"/>
        <v>-75992</v>
      </c>
      <c r="E5013" s="2" t="b">
        <f t="shared" ca="1" si="134"/>
        <v>1</v>
      </c>
      <c r="F5013" s="2" cm="1">
        <f t="array" aca="1" ref="F5013" ca="1">IF(G5013&lt;&gt;"",INDIRECT("'"&amp;G5013&amp;"'!"&amp;H5013),"")</f>
        <v>81000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81000</v>
      </c>
      <c r="C5015" s="3">
        <f t="shared" si="135"/>
        <v>-75990</v>
      </c>
      <c r="E5015" s="2" t="b">
        <f t="shared" ca="1" si="134"/>
        <v>1</v>
      </c>
      <c r="F5015" s="2" cm="1">
        <f t="array" aca="1" ref="F5015" ca="1">IF(G5015&lt;&gt;"",INDIRECT("'"&amp;G5015&amp;"'!"&amp;H5015),"")</f>
        <v>81000</v>
      </c>
      <c r="G5015" s="1582" t="s">
        <v>6962</v>
      </c>
      <c r="H5015" s="2" t="s">
        <v>4412</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6962</v>
      </c>
      <c r="H5016" s="2" t="s">
        <v>4430</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0</v>
      </c>
      <c r="C5026" s="3">
        <f t="shared" si="135"/>
        <v>5021</v>
      </c>
      <c r="E5026" s="2" t="b">
        <f t="shared" ca="1" si="134"/>
        <v>1</v>
      </c>
      <c r="F5026" s="2" cm="1">
        <f t="array" aca="1" ref="F5026" ca="1">IF(G5026&lt;&gt;"",INDIRECT("'"&amp;G5026&amp;"'!"&amp;H5026),"")</f>
        <v>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0</v>
      </c>
      <c r="C5031" s="3">
        <f t="shared" si="135"/>
        <v>5026</v>
      </c>
      <c r="E5031" s="2" t="b">
        <f t="shared" ca="1" si="134"/>
        <v>1</v>
      </c>
      <c r="F5031" s="2" cm="1">
        <f t="array" aca="1" ref="F5031" ca="1">IF(G5031&lt;&gt;"",INDIRECT("'"&amp;G5031&amp;"'!"&amp;H5031),"")</f>
        <v>0</v>
      </c>
      <c r="G5031" s="1582" t="s">
        <v>6962</v>
      </c>
      <c r="H5031" s="2" t="s">
        <v>4538</v>
      </c>
    </row>
    <row r="5032" spans="1:8" x14ac:dyDescent="0.2">
      <c r="A5032">
        <v>5027</v>
      </c>
      <c r="B5032" s="7">
        <f>'EstRev 6-11'!C65</f>
        <v>110000</v>
      </c>
      <c r="C5032" s="3">
        <f t="shared" si="135"/>
        <v>-104973</v>
      </c>
      <c r="E5032" s="2" t="b">
        <f t="shared" ca="1" si="134"/>
        <v>1</v>
      </c>
      <c r="F5032" s="2" cm="1">
        <f t="array" aca="1" ref="F5032" ca="1">IF(G5032&lt;&gt;"",INDIRECT("'"&amp;G5032&amp;"'!"&amp;H5032),"")</f>
        <v>110000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110000</v>
      </c>
      <c r="C5034" s="3">
        <f t="shared" si="135"/>
        <v>-104971</v>
      </c>
      <c r="E5034" s="2" t="b">
        <f t="shared" ca="1" si="134"/>
        <v>1</v>
      </c>
      <c r="F5034" s="2" cm="1">
        <f t="array" aca="1" ref="F5034" ca="1">IF(G5034&lt;&gt;"",INDIRECT("'"&amp;G5034&amp;"'!"&amp;H5034),"")</f>
        <v>110000</v>
      </c>
      <c r="G5034" s="1582" t="s">
        <v>6962</v>
      </c>
      <c r="H5034" s="2" t="s">
        <v>4559</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6962</v>
      </c>
      <c r="H5035" s="2" t="s">
        <v>4561</v>
      </c>
    </row>
    <row r="5036" spans="1:8" x14ac:dyDescent="0.2">
      <c r="A5036">
        <v>5031</v>
      </c>
      <c r="B5036" s="7">
        <f>'EstRev 6-11'!C71</f>
        <v>0</v>
      </c>
      <c r="C5036" s="3">
        <f t="shared" si="135"/>
        <v>5031</v>
      </c>
      <c r="E5036" s="2" t="b">
        <f t="shared" ca="1" si="134"/>
        <v>1</v>
      </c>
      <c r="F5036" s="2" cm="1">
        <f t="array" aca="1" ref="F5036" ca="1">IF(G5036&lt;&gt;"",INDIRECT("'"&amp;G5036&amp;"'!"&amp;H5036),"")</f>
        <v>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12000</v>
      </c>
      <c r="C5038" s="3">
        <f t="shared" si="135"/>
        <v>-6967</v>
      </c>
      <c r="E5038" s="2" t="b">
        <f t="shared" ca="1" si="134"/>
        <v>1</v>
      </c>
      <c r="F5038" s="2" cm="1">
        <f t="array" aca="1" ref="F5038" ca="1">IF(G5038&lt;&gt;"",INDIRECT("'"&amp;G5038&amp;"'!"&amp;H5038),"")</f>
        <v>12000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13500</v>
      </c>
      <c r="C5040" s="3">
        <f t="shared" si="135"/>
        <v>-8465</v>
      </c>
      <c r="E5040" s="2" t="b">
        <f t="shared" ca="1" si="134"/>
        <v>1</v>
      </c>
      <c r="F5040" s="2" cm="1">
        <f t="array" aca="1" ref="F5040" ca="1">IF(G5040&lt;&gt;"",INDIRECT("'"&amp;G5040&amp;"'!"&amp;H5040),"")</f>
        <v>13500</v>
      </c>
      <c r="G5040" s="1582" t="s">
        <v>6962</v>
      </c>
      <c r="H5040" s="2" t="s">
        <v>4566</v>
      </c>
    </row>
    <row r="5041" spans="1:8" x14ac:dyDescent="0.2">
      <c r="A5041">
        <v>5036</v>
      </c>
      <c r="B5041" s="7">
        <f>'EstRev 6-11'!C77</f>
        <v>12700</v>
      </c>
      <c r="C5041" s="3">
        <f t="shared" si="135"/>
        <v>-7664</v>
      </c>
      <c r="E5041" s="2" t="b">
        <f t="shared" ca="1" si="134"/>
        <v>1</v>
      </c>
      <c r="F5041" s="2" cm="1">
        <f t="array" aca="1" ref="F5041" ca="1">IF(G5041&lt;&gt;"",INDIRECT("'"&amp;G5041&amp;"'!"&amp;H5041),"")</f>
        <v>12700</v>
      </c>
      <c r="G5041" s="1582" t="s">
        <v>6962</v>
      </c>
      <c r="H5041" s="2" t="s">
        <v>4568</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x14ac:dyDescent="0.2">
      <c r="A5043">
        <v>5038</v>
      </c>
      <c r="B5043" s="7">
        <f>'EstRev 6-11'!C79</f>
        <v>7100</v>
      </c>
      <c r="C5043" s="3">
        <f t="shared" si="135"/>
        <v>-2062</v>
      </c>
      <c r="E5043" s="2" t="b">
        <f t="shared" ca="1" si="134"/>
        <v>1</v>
      </c>
      <c r="F5043" s="2" cm="1">
        <f t="array" aca="1" ref="F5043" ca="1">IF(G5043&lt;&gt;"",INDIRECT("'"&amp;G5043&amp;"'!"&amp;H5043),"")</f>
        <v>7100</v>
      </c>
      <c r="G5043" s="1582" t="s">
        <v>6962</v>
      </c>
      <c r="H5043" s="2" t="s">
        <v>5212</v>
      </c>
    </row>
    <row r="5044" spans="1:8" x14ac:dyDescent="0.2">
      <c r="A5044">
        <v>5039</v>
      </c>
      <c r="B5044" s="7">
        <f>'EstRev 6-11'!C80</f>
        <v>81690</v>
      </c>
      <c r="C5044" s="3">
        <f t="shared" si="135"/>
        <v>-76651</v>
      </c>
      <c r="E5044" s="2" t="b">
        <f t="shared" ca="1" si="134"/>
        <v>1</v>
      </c>
      <c r="F5044" s="2" cm="1">
        <f t="array" aca="1" ref="F5044" ca="1">IF(G5044&lt;&gt;"",INDIRECT("'"&amp;G5044&amp;"'!"&amp;H5044),"")</f>
        <v>81690</v>
      </c>
      <c r="G5044" s="1582" t="s">
        <v>6962</v>
      </c>
      <c r="H5044" s="2" t="s">
        <v>5213</v>
      </c>
    </row>
    <row r="5045" spans="1:8" x14ac:dyDescent="0.2">
      <c r="A5045">
        <v>5040</v>
      </c>
      <c r="B5045" s="7">
        <f>'EstRev 6-11'!C81</f>
        <v>0</v>
      </c>
      <c r="C5045" s="3">
        <f t="shared" si="135"/>
        <v>5040</v>
      </c>
      <c r="E5045" s="2" t="b">
        <f t="shared" ca="1" si="134"/>
        <v>1</v>
      </c>
      <c r="F5045" s="2" cm="1">
        <f t="array" aca="1" ref="F5045" ca="1">IF(G5045&lt;&gt;"",INDIRECT("'"&amp;G5045&amp;"'!"&amp;H5045),"")</f>
        <v>0</v>
      </c>
      <c r="G5045" s="1582" t="s">
        <v>6962</v>
      </c>
      <c r="H5045" s="2" t="s">
        <v>5053</v>
      </c>
    </row>
    <row r="5046" spans="1:8" x14ac:dyDescent="0.2">
      <c r="A5046">
        <v>5041</v>
      </c>
      <c r="B5046" s="7">
        <f>'EstRev 6-11'!C83</f>
        <v>101490</v>
      </c>
      <c r="C5046" s="3">
        <f t="shared" si="135"/>
        <v>-96449</v>
      </c>
      <c r="E5046" s="2" t="b">
        <f t="shared" ca="1" si="134"/>
        <v>1</v>
      </c>
      <c r="F5046" s="2" cm="1">
        <f t="array" aca="1" ref="F5046" ca="1">IF(G5046&lt;&gt;"",INDIRECT("'"&amp;G5046&amp;"'!"&amp;H5046),"")</f>
        <v>101490</v>
      </c>
      <c r="G5046" s="1582" t="s">
        <v>6962</v>
      </c>
      <c r="H5046" s="2" t="s">
        <v>5486</v>
      </c>
    </row>
    <row r="5047" spans="1:8" x14ac:dyDescent="0.2">
      <c r="A5047">
        <v>5042</v>
      </c>
      <c r="B5047" s="7">
        <f>'EstRev 6-11'!C86</f>
        <v>0</v>
      </c>
      <c r="C5047" s="3">
        <f t="shared" si="135"/>
        <v>5042</v>
      </c>
      <c r="E5047" s="2" t="b">
        <f t="shared" ca="1" si="134"/>
        <v>1</v>
      </c>
      <c r="F5047" s="2" cm="1">
        <f t="array" aca="1" ref="F5047" ca="1">IF(G5047&lt;&gt;"",INDIRECT("'"&amp;G5047&amp;"'!"&amp;H5047),"")</f>
        <v>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0</v>
      </c>
      <c r="C5050" s="3">
        <f t="shared" si="135"/>
        <v>5045</v>
      </c>
      <c r="E5050" s="2" t="b">
        <f t="shared" ca="1" si="134"/>
        <v>1</v>
      </c>
      <c r="F5050" s="2" cm="1">
        <f t="array" aca="1" ref="F5050" ca="1">IF(G5050&lt;&gt;"",INDIRECT("'"&amp;G5050&amp;"'!"&amp;H5050),"")</f>
        <v>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0</v>
      </c>
      <c r="C5056" s="3">
        <f t="shared" si="135"/>
        <v>5051</v>
      </c>
      <c r="E5056" s="2" t="b">
        <f t="shared" ca="1" si="134"/>
        <v>1</v>
      </c>
      <c r="F5056" s="2" cm="1">
        <f t="array" aca="1" ref="F5056" ca="1">IF(G5056&lt;&gt;"",INDIRECT("'"&amp;G5056&amp;"'!"&amp;H5056),"")</f>
        <v>0</v>
      </c>
      <c r="G5056" s="1582" t="s">
        <v>6962</v>
      </c>
      <c r="H5056" s="2" t="s">
        <v>5496</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6962</v>
      </c>
      <c r="H5057" s="2" t="s">
        <v>5497</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6962</v>
      </c>
      <c r="H5059" s="2" t="s">
        <v>5499</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6962</v>
      </c>
      <c r="H5062" s="2" t="s">
        <v>5502</v>
      </c>
    </row>
    <row r="5063" spans="1:11" x14ac:dyDescent="0.2">
      <c r="A5063">
        <v>5058</v>
      </c>
      <c r="B5063" s="7">
        <f>'EstRev 6-11'!C109</f>
        <v>0</v>
      </c>
      <c r="C5063" s="3">
        <f t="shared" si="135"/>
        <v>5058</v>
      </c>
      <c r="E5063" s="2" t="b">
        <f t="shared" ca="1" si="136"/>
        <v>1</v>
      </c>
      <c r="F5063" s="2" cm="1">
        <f t="array" aca="1" ref="F5063" ca="1">IF(G5063&lt;&gt;"",INDIRECT("'"&amp;G5063&amp;"'!"&amp;H5063),"")</f>
        <v>0</v>
      </c>
      <c r="G5063" s="1582" t="s">
        <v>6962</v>
      </c>
      <c r="H5063" s="2" t="s">
        <v>5503</v>
      </c>
    </row>
    <row r="5064" spans="1:11" x14ac:dyDescent="0.2">
      <c r="A5064">
        <v>5059</v>
      </c>
      <c r="B5064" s="7">
        <f>'EstRev 6-11'!C110</f>
        <v>4000</v>
      </c>
      <c r="C5064" s="3">
        <f t="shared" ref="C5064:C5125" si="137">A5064-B5064</f>
        <v>1059</v>
      </c>
      <c r="E5064" s="2" t="b">
        <f t="shared" ca="1" si="136"/>
        <v>1</v>
      </c>
      <c r="F5064" s="2" cm="1">
        <f t="array" aca="1" ref="F5064" ca="1">IF(G5064&lt;&gt;"",INDIRECT("'"&amp;G5064&amp;"'!"&amp;H5064),"")</f>
        <v>4000</v>
      </c>
      <c r="G5064" s="1582" t="s">
        <v>6962</v>
      </c>
      <c r="H5064" s="2" t="s">
        <v>5504</v>
      </c>
    </row>
    <row r="5065" spans="1:11" x14ac:dyDescent="0.2">
      <c r="A5065">
        <v>5060</v>
      </c>
      <c r="B5065" s="7">
        <f>'EstRev 6-11'!C111</f>
        <v>5337244</v>
      </c>
      <c r="C5065" s="3">
        <f t="shared" si="137"/>
        <v>-5332184</v>
      </c>
      <c r="E5065" s="2" t="b">
        <f t="shared" ca="1" si="136"/>
        <v>1</v>
      </c>
      <c r="F5065" s="2" cm="1">
        <f t="array" aca="1" ref="F5065" ca="1">IF(G5065&lt;&gt;"",INDIRECT("'"&amp;G5065&amp;"'!"&amp;H5065),"")</f>
        <v>5337244</v>
      </c>
      <c r="G5065" s="1582" t="s">
        <v>6962</v>
      </c>
      <c r="H5065" s="2" t="s">
        <v>5505</v>
      </c>
    </row>
    <row r="5066" spans="1:11" x14ac:dyDescent="0.2">
      <c r="A5066">
        <v>5061</v>
      </c>
      <c r="B5066" s="7">
        <f>'EstRev 6-11'!C114</f>
        <v>100</v>
      </c>
      <c r="C5066" s="3">
        <f t="shared" si="137"/>
        <v>4961</v>
      </c>
      <c r="E5066" s="2" t="b">
        <f t="shared" ca="1" si="136"/>
        <v>1</v>
      </c>
      <c r="F5066" s="2" cm="1">
        <f t="array" aca="1" ref="F5066" ca="1">IF(G5066&lt;&gt;"",INDIRECT("'"&amp;G5066&amp;"'!"&amp;H5066),"")</f>
        <v>100</v>
      </c>
      <c r="G5066" s="1582" t="s">
        <v>6962</v>
      </c>
      <c r="H5066" s="2" t="s">
        <v>5506</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100</v>
      </c>
      <c r="C5069" s="3">
        <f t="shared" si="137"/>
        <v>4964</v>
      </c>
      <c r="E5069" s="2" t="b">
        <f t="shared" ca="1" si="136"/>
        <v>1</v>
      </c>
      <c r="F5069" s="2" cm="1">
        <f t="array" aca="1" ref="F5069" ca="1">IF(G5069&lt;&gt;"",INDIRECT("'"&amp;G5069&amp;"'!"&amp;H5069),"")</f>
        <v>100</v>
      </c>
      <c r="G5069" s="1582" t="s">
        <v>6962</v>
      </c>
      <c r="H5069" s="2" t="s">
        <v>5508</v>
      </c>
    </row>
    <row r="5070" spans="1:11" x14ac:dyDescent="0.2">
      <c r="A5070">
        <v>5065</v>
      </c>
      <c r="B5070" s="7">
        <f>'EstRev 6-11'!C120</f>
        <v>3072101</v>
      </c>
      <c r="C5070" s="3">
        <f t="shared" si="137"/>
        <v>-3067036</v>
      </c>
      <c r="E5070" s="2" t="b">
        <f t="shared" ca="1" si="136"/>
        <v>1</v>
      </c>
      <c r="F5070" s="2" cm="1">
        <f t="array" aca="1" ref="F5070" ca="1">IF(G5070&lt;&gt;"",INDIRECT("'"&amp;G5070&amp;"'!"&amp;H5070),"")</f>
        <v>3072101</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3072101</v>
      </c>
      <c r="C5076" s="3">
        <f t="shared" si="137"/>
        <v>-3067030</v>
      </c>
      <c r="E5076" s="2" t="b">
        <f t="shared" ca="1" si="136"/>
        <v>1</v>
      </c>
      <c r="F5076" s="2" cm="1">
        <f t="array" aca="1" ref="F5076" ca="1">IF(G5076&lt;&gt;"",INDIRECT("'"&amp;G5076&amp;"'!"&amp;H5076),"")</f>
        <v>3072101</v>
      </c>
      <c r="G5076" s="1582" t="s">
        <v>6962</v>
      </c>
      <c r="H5076" s="2" t="s">
        <v>5329</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600</v>
      </c>
      <c r="C5081" s="3">
        <f t="shared" si="137"/>
        <v>4476</v>
      </c>
      <c r="E5081" s="2" t="b">
        <f t="shared" ca="1" si="136"/>
        <v>1</v>
      </c>
      <c r="F5081" s="2" cm="1">
        <f t="array" aca="1" ref="F5081" ca="1">IF(G5081&lt;&gt;"",INDIRECT("'"&amp;G5081&amp;"'!"&amp;H5081),"")</f>
        <v>600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600</v>
      </c>
      <c r="C5091" s="3">
        <f t="shared" si="137"/>
        <v>4486</v>
      </c>
      <c r="E5091" s="2" t="b">
        <f t="shared" ca="1" si="136"/>
        <v>1</v>
      </c>
      <c r="F5091" s="2" cm="1">
        <f t="array" aca="1" ref="F5091" ca="1">IF(G5091&lt;&gt;"",INDIRECT("'"&amp;G5091&amp;"'!"&amp;H5091),"")</f>
        <v>600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0</v>
      </c>
      <c r="C5105" s="3">
        <f t="shared" si="137"/>
        <v>5100</v>
      </c>
      <c r="E5105" s="2" t="b">
        <f t="shared" ca="1" si="136"/>
        <v>1</v>
      </c>
      <c r="F5105" s="2" cm="1">
        <f t="array" aca="1" ref="F5105" ca="1">IF(G5105&lt;&gt;"",INDIRECT("'"&amp;G5105&amp;"'!"&amp;H5105),"")</f>
        <v>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2000</v>
      </c>
      <c r="C5111" s="3">
        <f t="shared" si="137"/>
        <v>3106</v>
      </c>
      <c r="E5111" s="2" t="b">
        <f t="shared" ca="1" si="136"/>
        <v>1</v>
      </c>
      <c r="F5111" s="2" cm="1">
        <f t="array" aca="1" ref="F5111" ca="1">IF(G5111&lt;&gt;"",INDIRECT("'"&amp;G5111&amp;"'!"&amp;H5111),"")</f>
        <v>2000</v>
      </c>
      <c r="G5111" s="1582" t="s">
        <v>6962</v>
      </c>
      <c r="H5111" s="2" t="s">
        <v>5519</v>
      </c>
    </row>
    <row r="5112" spans="1:11" x14ac:dyDescent="0.2">
      <c r="A5112">
        <v>5107</v>
      </c>
      <c r="B5112" s="7">
        <f>'EstRev 6-11'!C150</f>
        <v>0</v>
      </c>
      <c r="C5112" s="3">
        <f t="shared" si="137"/>
        <v>5107</v>
      </c>
      <c r="E5112" s="2" t="b">
        <f t="shared" ca="1" si="136"/>
        <v>1</v>
      </c>
      <c r="F5112" s="2" cm="1">
        <f t="array" aca="1" ref="F5112" ca="1">IF(G5112&lt;&gt;"",INDIRECT("'"&amp;G5112&amp;"'!"&amp;H5112),"")</f>
        <v>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203010</v>
      </c>
      <c r="C5140" s="3">
        <f t="shared" si="139"/>
        <v>-197875</v>
      </c>
      <c r="E5140" s="2" t="b">
        <f t="shared" ca="1" si="138"/>
        <v>1</v>
      </c>
      <c r="F5140" s="2" cm="1">
        <f t="array" aca="1" ref="F5140" ca="1">IF(G5140&lt;&gt;"",INDIRECT("'"&amp;G5140&amp;"'!"&amp;H5140),"")</f>
        <v>203010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205610</v>
      </c>
      <c r="C5158" s="3">
        <f t="shared" si="139"/>
        <v>-200457</v>
      </c>
      <c r="E5158" s="2" t="b">
        <f t="shared" ca="1" si="138"/>
        <v>1</v>
      </c>
      <c r="F5158" s="2" cm="1">
        <f t="array" aca="1" ref="F5158" ca="1">IF(G5158&lt;&gt;"",INDIRECT("'"&amp;G5158&amp;"'!"&amp;H5158),"")</f>
        <v>205610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3277711</v>
      </c>
      <c r="C5167" s="3">
        <f t="shared" si="139"/>
        <v>-3272549</v>
      </c>
      <c r="E5167" s="2" t="b">
        <f t="shared" ca="1" si="138"/>
        <v>1</v>
      </c>
      <c r="F5167" s="2" cm="1">
        <f t="array" aca="1" ref="F5167" ca="1">IF(G5167&lt;&gt;"",INDIRECT("'"&amp;G5167&amp;"'!"&amp;H5167),"")</f>
        <v>3277711</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411396</v>
      </c>
      <c r="C5183" s="3">
        <f t="shared" si="139"/>
        <v>-406218</v>
      </c>
      <c r="E5183" s="2" t="b">
        <f t="shared" ca="1" si="138"/>
        <v>1</v>
      </c>
      <c r="F5183" s="2" cm="1">
        <f t="array" aca="1" ref="F5183" ca="1">IF(G5183&lt;&gt;"",INDIRECT("'"&amp;G5183&amp;"'!"&amp;H5183),"")</f>
        <v>411396</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140000</v>
      </c>
      <c r="C5185" s="3">
        <f t="shared" si="139"/>
        <v>-134820</v>
      </c>
      <c r="E5185" s="2" t="b">
        <f t="shared" ca="1" si="138"/>
        <v>1</v>
      </c>
      <c r="F5185" s="2" cm="1">
        <f t="array" aca="1" ref="F5185" ca="1">IF(G5185&lt;&gt;"",INDIRECT("'"&amp;G5185&amp;"'!"&amp;H5185),"")</f>
        <v>140000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551396</v>
      </c>
      <c r="C5190" s="3">
        <f t="shared" si="139"/>
        <v>-546211</v>
      </c>
      <c r="E5190" s="2" t="b">
        <f t="shared" ca="1" si="140"/>
        <v>1</v>
      </c>
      <c r="F5190" s="2" cm="1">
        <f t="array" aca="1" ref="F5190" ca="1">IF(G5190&lt;&gt;"",INDIRECT("'"&amp;G5190&amp;"'!"&amp;H5190),"")</f>
        <v>551396</v>
      </c>
      <c r="G5190" s="1582" t="s">
        <v>6962</v>
      </c>
      <c r="H5190" s="2" t="s">
        <v>5540</v>
      </c>
    </row>
    <row r="5191" spans="1:19" x14ac:dyDescent="0.2">
      <c r="A5191">
        <v>5186</v>
      </c>
      <c r="B5191" s="7">
        <f>'EstRev 6-11'!C202</f>
        <v>117909</v>
      </c>
      <c r="C5191" s="3">
        <f t="shared" si="139"/>
        <v>-112723</v>
      </c>
      <c r="E5191" s="2" t="b">
        <f t="shared" ca="1" si="140"/>
        <v>1</v>
      </c>
      <c r="F5191" s="2" cm="1">
        <f t="array" aca="1" ref="F5191" ca="1">IF(G5191&lt;&gt;"",INDIRECT("'"&amp;G5191&amp;"'!"&amp;H5191),"")</f>
        <v>117909</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10000</v>
      </c>
      <c r="C5200" s="3">
        <f t="shared" si="141"/>
        <v>-4805</v>
      </c>
      <c r="E5200" s="2" t="b">
        <f t="shared" ca="1" si="140"/>
        <v>1</v>
      </c>
      <c r="F5200" s="2" cm="1">
        <f t="array" aca="1" ref="F5200" ca="1">IF(G5200&lt;&gt;"",INDIRECT("'"&amp;G5200&amp;"'!"&amp;H5200),"")</f>
        <v>10000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117909</v>
      </c>
      <c r="C5204" s="3">
        <f t="shared" si="141"/>
        <v>-112710</v>
      </c>
      <c r="E5204" s="2" t="b">
        <f t="shared" ca="1" si="140"/>
        <v>1</v>
      </c>
      <c r="F5204" s="2" cm="1">
        <f t="array" aca="1" ref="F5204" ca="1">IF(G5204&lt;&gt;"",INDIRECT("'"&amp;G5204&amp;"'!"&amp;H5204),"")</f>
        <v>117909</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4852</v>
      </c>
      <c r="C5218" s="3">
        <f t="shared" si="141"/>
        <v>361</v>
      </c>
      <c r="E5218" s="2" t="b">
        <f t="shared" ca="1" si="140"/>
        <v>1</v>
      </c>
      <c r="F5218" s="2" cm="1">
        <f t="array" aca="1" ref="F5218" ca="1">IF(G5218&lt;&gt;"",INDIRECT("'"&amp;G5218&amp;"'!"&amp;H5218),"")</f>
        <v>4852</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242706</v>
      </c>
      <c r="C5222" s="3">
        <f t="shared" si="141"/>
        <v>-237489</v>
      </c>
      <c r="E5222" s="2" t="b">
        <f t="shared" ca="1" si="140"/>
        <v>1</v>
      </c>
      <c r="F5222" s="2" cm="1">
        <f t="array" aca="1" ref="F5222" ca="1">IF(G5222&lt;&gt;"",INDIRECT("'"&amp;G5222&amp;"'!"&amp;H5222),"")</f>
        <v>242706</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247558</v>
      </c>
      <c r="C5230" s="3">
        <f t="shared" si="141"/>
        <v>-242333</v>
      </c>
      <c r="E5230" s="2" t="b">
        <f t="shared" ca="1" si="140"/>
        <v>1</v>
      </c>
      <c r="F5230" s="2" cm="1">
        <f t="array" aca="1" ref="F5230" ca="1">IF(G5230&lt;&gt;"",INDIRECT("'"&amp;G5230&amp;"'!"&amp;H5230),"")</f>
        <v>247558</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1156425</v>
      </c>
      <c r="C5264" s="3">
        <f t="shared" si="143"/>
        <v>-1151166</v>
      </c>
      <c r="E5264" s="2" t="b">
        <f t="shared" ca="1" si="142"/>
        <v>1</v>
      </c>
      <c r="F5264" s="2" cm="1">
        <f t="array" aca="1" ref="F5264" ca="1">IF(G5264&lt;&gt;"",INDIRECT("'"&amp;G5264&amp;"'!"&amp;H5264),"")</f>
        <v>1156425</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1156425</v>
      </c>
      <c r="C5270" s="3">
        <f t="shared" si="143"/>
        <v>-1151160</v>
      </c>
      <c r="E5270" s="2" t="b">
        <f t="shared" ca="1" si="142"/>
        <v>1</v>
      </c>
      <c r="F5270" s="2" cm="1">
        <f t="array" aca="1" ref="F5270" ca="1">IF(G5270&lt;&gt;"",INDIRECT("'"&amp;G5270&amp;"'!"&amp;H5270),"")</f>
        <v>1156425</v>
      </c>
      <c r="G5270" s="1582" t="s">
        <v>6962</v>
      </c>
      <c r="H5270" s="2" t="s">
        <v>5558</v>
      </c>
    </row>
    <row r="5271" spans="1:11" x14ac:dyDescent="0.2">
      <c r="A5271">
        <v>5266</v>
      </c>
      <c r="B5271" s="7">
        <f>'EstRev 6-11'!C272</f>
        <v>9771480</v>
      </c>
      <c r="C5271" s="3">
        <f t="shared" si="143"/>
        <v>-9766214</v>
      </c>
      <c r="E5271" s="2" t="b">
        <f t="shared" ca="1" si="142"/>
        <v>1</v>
      </c>
      <c r="F5271" s="2" cm="1">
        <f t="array" aca="1" ref="F5271" ca="1">IF(G5271&lt;&gt;"",INDIRECT("'"&amp;G5271&amp;"'!"&amp;H5271),"")</f>
        <v>9771480</v>
      </c>
      <c r="G5271" s="1582" t="s">
        <v>6962</v>
      </c>
      <c r="H5271" s="2" t="s">
        <v>5559</v>
      </c>
    </row>
    <row r="5272" spans="1:11" x14ac:dyDescent="0.2">
      <c r="A5272">
        <v>5267</v>
      </c>
      <c r="B5272" s="7">
        <f>'EstRev 6-11'!D5</f>
        <v>865823</v>
      </c>
      <c r="C5272" s="3">
        <f t="shared" si="143"/>
        <v>-860556</v>
      </c>
      <c r="E5272" s="2" t="b">
        <f t="shared" ca="1" si="142"/>
        <v>1</v>
      </c>
      <c r="F5272" s="2" cm="1">
        <f t="array" aca="1" ref="F5272" ca="1">IF(G5272&lt;&gt;"",INDIRECT("'"&amp;G5272&amp;"'!"&amp;H5272),"")</f>
        <v>865823</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865823</v>
      </c>
      <c r="C5278" s="3">
        <f t="shared" si="143"/>
        <v>-860550</v>
      </c>
      <c r="E5278" s="2" t="b">
        <f t="shared" ca="1" si="142"/>
        <v>1</v>
      </c>
      <c r="F5278" s="2" cm="1">
        <f t="array" aca="1" ref="F5278" ca="1">IF(G5278&lt;&gt;"",INDIRECT("'"&amp;G5278&amp;"'!"&amp;H5278),"")</f>
        <v>865823</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0</v>
      </c>
      <c r="C5281" s="3">
        <f t="shared" si="143"/>
        <v>5276</v>
      </c>
      <c r="E5281" s="2" t="b">
        <f t="shared" ca="1" si="142"/>
        <v>1</v>
      </c>
      <c r="F5281" s="2" cm="1">
        <f t="array" aca="1" ref="F5281" ca="1">IF(G5281&lt;&gt;"",INDIRECT("'"&amp;G5281&amp;"'!"&amp;H5281),"")</f>
        <v>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0</v>
      </c>
      <c r="C5283" s="3">
        <f t="shared" si="143"/>
        <v>5278</v>
      </c>
      <c r="E5283" s="2" t="b">
        <f t="shared" ca="1" si="142"/>
        <v>1</v>
      </c>
      <c r="F5283" s="2" cm="1">
        <f t="array" aca="1" ref="F5283" ca="1">IF(G5283&lt;&gt;"",INDIRECT("'"&amp;G5283&amp;"'!"&amp;H5283),"")</f>
        <v>0</v>
      </c>
      <c r="G5283" s="1582" t="s">
        <v>6962</v>
      </c>
      <c r="H5283" s="2" t="s">
        <v>4413</v>
      </c>
    </row>
    <row r="5284" spans="1:8" x14ac:dyDescent="0.2">
      <c r="A5284">
        <v>5279</v>
      </c>
      <c r="B5284" s="7">
        <f>'EstRev 6-11'!D65</f>
        <v>15000</v>
      </c>
      <c r="C5284" s="3">
        <f t="shared" si="143"/>
        <v>-9721</v>
      </c>
      <c r="E5284" s="2" t="b">
        <f t="shared" ca="1" si="142"/>
        <v>1</v>
      </c>
      <c r="F5284" s="2" cm="1">
        <f t="array" aca="1" ref="F5284" ca="1">IF(G5284&lt;&gt;"",INDIRECT("'"&amp;G5284&amp;"'!"&amp;H5284),"")</f>
        <v>15000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15000</v>
      </c>
      <c r="C5286" s="3">
        <f t="shared" si="143"/>
        <v>-9719</v>
      </c>
      <c r="E5286" s="2" t="b">
        <f t="shared" ca="1" si="142"/>
        <v>1</v>
      </c>
      <c r="F5286" s="2" cm="1">
        <f t="array" aca="1" ref="F5286" ca="1">IF(G5286&lt;&gt;"",INDIRECT("'"&amp;G5286&amp;"'!"&amp;H5286),"")</f>
        <v>15000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6962</v>
      </c>
      <c r="H5298" s="2" t="s">
        <v>5566</v>
      </c>
    </row>
    <row r="5299" spans="1:11" x14ac:dyDescent="0.2">
      <c r="A5299">
        <v>5294</v>
      </c>
      <c r="B5299" s="7">
        <f>'EstRev 6-11'!D110</f>
        <v>0</v>
      </c>
      <c r="C5299" s="3">
        <f t="shared" si="143"/>
        <v>5294</v>
      </c>
      <c r="E5299" s="2" t="b">
        <f t="shared" ca="1" si="142"/>
        <v>1</v>
      </c>
      <c r="F5299" s="2" cm="1">
        <f t="array" aca="1" ref="F5299" ca="1">IF(G5299&lt;&gt;"",INDIRECT("'"&amp;G5299&amp;"'!"&amp;H5299),"")</f>
        <v>0</v>
      </c>
      <c r="G5299" s="1582" t="s">
        <v>6962</v>
      </c>
      <c r="H5299" s="2" t="s">
        <v>5567</v>
      </c>
    </row>
    <row r="5300" spans="1:11" x14ac:dyDescent="0.2">
      <c r="A5300">
        <v>5295</v>
      </c>
      <c r="B5300" s="7">
        <f>'EstRev 6-11'!D111</f>
        <v>880823</v>
      </c>
      <c r="C5300" s="3">
        <f t="shared" si="143"/>
        <v>-875528</v>
      </c>
      <c r="E5300" s="2" t="b">
        <f t="shared" ca="1" si="142"/>
        <v>1</v>
      </c>
      <c r="F5300" s="2" cm="1">
        <f t="array" aca="1" ref="F5300" ca="1">IF(G5300&lt;&gt;"",INDIRECT("'"&amp;G5300&amp;"'!"&amp;H5300),"")</f>
        <v>880823</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341768</v>
      </c>
      <c r="C5305" s="3">
        <f t="shared" si="143"/>
        <v>-336468</v>
      </c>
      <c r="E5305" s="2" t="b">
        <f t="shared" ca="1" si="142"/>
        <v>1</v>
      </c>
      <c r="F5305" s="2" cm="1">
        <f t="array" aca="1" ref="F5305" ca="1">IF(G5305&lt;&gt;"",INDIRECT("'"&amp;G5305&amp;"'!"&amp;H5305),"")</f>
        <v>341768</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341768</v>
      </c>
      <c r="C5311" s="3">
        <f t="shared" si="143"/>
        <v>-336462</v>
      </c>
      <c r="E5311" s="2" t="b">
        <f t="shared" ca="1" si="142"/>
        <v>1</v>
      </c>
      <c r="F5311" s="2" cm="1">
        <f t="array" aca="1" ref="F5311" ca="1">IF(G5311&lt;&gt;"",INDIRECT("'"&amp;G5311&amp;"'!"&amp;H5311),"")</f>
        <v>341768</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0</v>
      </c>
      <c r="C5356" s="3">
        <f t="shared" si="145"/>
        <v>5351</v>
      </c>
      <c r="E5356" s="2" t="b">
        <f t="shared" ca="1" si="144"/>
        <v>1</v>
      </c>
      <c r="F5356" s="2" cm="1">
        <f t="array" aca="1" ref="F5356" ca="1">IF(G5356&lt;&gt;"",INDIRECT("'"&amp;G5356&amp;"'!"&amp;H5356),"")</f>
        <v>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341768</v>
      </c>
      <c r="C5365" s="3">
        <f t="shared" si="145"/>
        <v>-336408</v>
      </c>
      <c r="E5365" s="2" t="b">
        <f t="shared" ca="1" si="144"/>
        <v>1</v>
      </c>
      <c r="F5365" s="2" cm="1">
        <f t="array" aca="1" ref="F5365" ca="1">IF(G5365&lt;&gt;"",INDIRECT("'"&amp;G5365&amp;"'!"&amp;H5365),"")</f>
        <v>341768</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x14ac:dyDescent="0.2">
      <c r="A5452">
        <v>5447</v>
      </c>
      <c r="B5452" s="7">
        <f>'EstRev 6-11'!D272</f>
        <v>1222591</v>
      </c>
      <c r="C5452" s="3">
        <f t="shared" si="149"/>
        <v>-1217144</v>
      </c>
      <c r="E5452" s="2" t="b">
        <f t="shared" ca="1" si="148"/>
        <v>1</v>
      </c>
      <c r="F5452" s="2" cm="1">
        <f t="array" aca="1" ref="F5452" ca="1">IF(G5452&lt;&gt;"",INDIRECT("'"&amp;G5452&amp;"'!"&amp;H5452),"")</f>
        <v>1222591</v>
      </c>
      <c r="G5452" s="1582" t="s">
        <v>6962</v>
      </c>
      <c r="H5452" s="2" t="s">
        <v>4964</v>
      </c>
    </row>
    <row r="5453" spans="1:11" x14ac:dyDescent="0.2">
      <c r="A5453">
        <v>5448</v>
      </c>
      <c r="B5453" s="7">
        <f>'EstRev 6-11'!E5</f>
        <v>443566</v>
      </c>
      <c r="C5453" s="3">
        <f t="shared" si="149"/>
        <v>-438118</v>
      </c>
      <c r="E5453" s="2" t="b">
        <f t="shared" ca="1" si="148"/>
        <v>1</v>
      </c>
      <c r="F5453" s="2" cm="1">
        <f t="array" aca="1" ref="F5453" ca="1">IF(G5453&lt;&gt;"",INDIRECT("'"&amp;G5453&amp;"'!"&amp;H5453),"")</f>
        <v>443566</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443566</v>
      </c>
      <c r="C5457" s="3">
        <f t="shared" si="149"/>
        <v>-438114</v>
      </c>
      <c r="E5457" s="2" t="b">
        <f t="shared" ca="1" si="148"/>
        <v>1</v>
      </c>
      <c r="F5457" s="2" cm="1">
        <f t="array" aca="1" ref="F5457" ca="1">IF(G5457&lt;&gt;"",INDIRECT("'"&amp;G5457&amp;"'!"&amp;H5457),"")</f>
        <v>443566</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9500</v>
      </c>
      <c r="C5463" s="3">
        <f t="shared" si="149"/>
        <v>-4042</v>
      </c>
      <c r="E5463" s="2" t="b">
        <f t="shared" ca="1" si="148"/>
        <v>1</v>
      </c>
      <c r="F5463" s="2" cm="1">
        <f t="array" aca="1" ref="F5463" ca="1">IF(G5463&lt;&gt;"",INDIRECT("'"&amp;G5463&amp;"'!"&amp;H5463),"")</f>
        <v>9500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9500</v>
      </c>
      <c r="C5465" s="3">
        <f t="shared" si="149"/>
        <v>-4040</v>
      </c>
      <c r="E5465" s="2" t="b">
        <f t="shared" ca="1" si="148"/>
        <v>1</v>
      </c>
      <c r="F5465" s="2" cm="1">
        <f t="array" aca="1" ref="F5465" ca="1">IF(G5465&lt;&gt;"",INDIRECT("'"&amp;G5465&amp;"'!"&amp;H5465),"")</f>
        <v>9500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6962</v>
      </c>
      <c r="H5469" s="2" t="s">
        <v>5605</v>
      </c>
    </row>
    <row r="5470" spans="1:8" x14ac:dyDescent="0.2">
      <c r="A5470">
        <v>5465</v>
      </c>
      <c r="B5470" s="7">
        <f>'EstRev 6-11'!E110</f>
        <v>0</v>
      </c>
      <c r="C5470" s="3">
        <f t="shared" si="149"/>
        <v>5465</v>
      </c>
      <c r="E5470" s="2" t="b">
        <f t="shared" ca="1" si="148"/>
        <v>1</v>
      </c>
      <c r="F5470" s="2" cm="1">
        <f t="array" aca="1" ref="F5470" ca="1">IF(G5470&lt;&gt;"",INDIRECT("'"&amp;G5470&amp;"'!"&amp;H5470),"")</f>
        <v>0</v>
      </c>
      <c r="G5470" s="1582" t="s">
        <v>6962</v>
      </c>
      <c r="H5470" s="2" t="s">
        <v>5606</v>
      </c>
    </row>
    <row r="5471" spans="1:8" x14ac:dyDescent="0.2">
      <c r="A5471">
        <v>5466</v>
      </c>
      <c r="B5471" s="7">
        <f>'EstRev 6-11'!E111</f>
        <v>453066</v>
      </c>
      <c r="C5471" s="3">
        <f t="shared" si="149"/>
        <v>-447600</v>
      </c>
      <c r="E5471" s="2" t="b">
        <f t="shared" ca="1" si="148"/>
        <v>1</v>
      </c>
      <c r="F5471" s="2" cm="1">
        <f t="array" aca="1" ref="F5471" ca="1">IF(G5471&lt;&gt;"",INDIRECT("'"&amp;G5471&amp;"'!"&amp;H5471),"")</f>
        <v>453066</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453066</v>
      </c>
      <c r="C5496" s="3">
        <f t="shared" si="149"/>
        <v>-447575</v>
      </c>
      <c r="E5496" s="2" t="b">
        <f t="shared" ca="1" si="148"/>
        <v>1</v>
      </c>
      <c r="F5496" s="2" cm="1">
        <f t="array" aca="1" ref="F5496" ca="1">IF(G5496&lt;&gt;"",INDIRECT("'"&amp;G5496&amp;"'!"&amp;H5496),"")</f>
        <v>453066</v>
      </c>
      <c r="G5496" s="1582" t="s">
        <v>6962</v>
      </c>
      <c r="H5496" s="2" t="s">
        <v>5612</v>
      </c>
    </row>
    <row r="5497" spans="1:11" x14ac:dyDescent="0.2">
      <c r="A5497">
        <v>5492</v>
      </c>
      <c r="B5497" s="7">
        <f>'EstRev 6-11'!F5</f>
        <v>175298</v>
      </c>
      <c r="C5497" s="3">
        <f t="shared" si="149"/>
        <v>-169806</v>
      </c>
      <c r="E5497" s="2" t="b">
        <f t="shared" ca="1" si="148"/>
        <v>1</v>
      </c>
      <c r="F5497" s="2" cm="1">
        <f t="array" aca="1" ref="F5497" ca="1">IF(G5497&lt;&gt;"",INDIRECT("'"&amp;G5497&amp;"'!"&amp;H5497),"")</f>
        <v>175298</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175298</v>
      </c>
      <c r="C5501" s="3">
        <f t="shared" si="149"/>
        <v>-169802</v>
      </c>
      <c r="E5501" s="2" t="b">
        <f t="shared" ca="1" si="148"/>
        <v>1</v>
      </c>
      <c r="F5501" s="2" cm="1">
        <f t="array" aca="1" ref="F5501" ca="1">IF(G5501&lt;&gt;"",INDIRECT("'"&amp;G5501&amp;"'!"&amp;H5501),"")</f>
        <v>175298</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x14ac:dyDescent="0.2">
      <c r="A5524">
        <v>5519</v>
      </c>
      <c r="B5524" s="7">
        <f>'EstRev 6-11'!F65</f>
        <v>42000</v>
      </c>
      <c r="C5524" s="3">
        <f t="shared" si="151"/>
        <v>-36481</v>
      </c>
      <c r="E5524" s="2" t="b">
        <f t="shared" ca="1" si="150"/>
        <v>1</v>
      </c>
      <c r="F5524" s="2" cm="1">
        <f t="array" aca="1" ref="F5524" ca="1">IF(G5524&lt;&gt;"",INDIRECT("'"&amp;G5524&amp;"'!"&amp;H5524),"")</f>
        <v>42000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42000</v>
      </c>
      <c r="C5526" s="3">
        <f t="shared" si="151"/>
        <v>-36479</v>
      </c>
      <c r="E5526" s="2" t="b">
        <f t="shared" ca="1" si="150"/>
        <v>1</v>
      </c>
      <c r="F5526" s="2" cm="1">
        <f t="array" aca="1" ref="F5526" ca="1">IF(G5526&lt;&gt;"",INDIRECT("'"&amp;G5526&amp;"'!"&amp;H5526),"")</f>
        <v>42000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6962</v>
      </c>
      <c r="H5530" s="2" t="s">
        <v>5618</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6962</v>
      </c>
      <c r="H5531" s="2" t="s">
        <v>5619</v>
      </c>
    </row>
    <row r="5532" spans="1:8" x14ac:dyDescent="0.2">
      <c r="A5532">
        <v>5527</v>
      </c>
      <c r="B5532" s="7">
        <f>'EstRev 6-11'!F111</f>
        <v>217298</v>
      </c>
      <c r="C5532" s="3">
        <f t="shared" si="151"/>
        <v>-211771</v>
      </c>
      <c r="E5532" s="2" t="b">
        <f t="shared" ca="1" si="150"/>
        <v>1</v>
      </c>
      <c r="F5532" s="2" cm="1">
        <f t="array" aca="1" ref="F5532" ca="1">IF(G5532&lt;&gt;"",INDIRECT("'"&amp;G5532&amp;"'!"&amp;H5532),"")</f>
        <v>217298</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188755</v>
      </c>
      <c r="C5537" s="3">
        <f t="shared" si="151"/>
        <v>-183223</v>
      </c>
      <c r="E5537" s="2" t="b">
        <f t="shared" ca="1" si="150"/>
        <v>1</v>
      </c>
      <c r="F5537" s="2" cm="1">
        <f t="array" aca="1" ref="F5537" ca="1">IF(G5537&lt;&gt;"",INDIRECT("'"&amp;G5537&amp;"'!"&amp;H5537),"")</f>
        <v>188755</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188755</v>
      </c>
      <c r="C5543" s="3">
        <f t="shared" si="151"/>
        <v>-183217</v>
      </c>
      <c r="E5543" s="2" t="b">
        <f t="shared" ca="1" si="150"/>
        <v>1</v>
      </c>
      <c r="F5543" s="2" cm="1">
        <f t="array" aca="1" ref="F5543" ca="1">IF(G5543&lt;&gt;"",INDIRECT("'"&amp;G5543&amp;"'!"&amp;H5543),"")</f>
        <v>188755</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242854</v>
      </c>
      <c r="C5559" s="3">
        <f t="shared" si="151"/>
        <v>-237300</v>
      </c>
      <c r="E5559" s="2" t="b">
        <f t="shared" ca="1" si="150"/>
        <v>1</v>
      </c>
      <c r="F5559" s="2" cm="1">
        <f t="array" aca="1" ref="F5559" ca="1">IF(G5559&lt;&gt;"",INDIRECT("'"&amp;G5559&amp;"'!"&amp;H5559),"")</f>
        <v>242854</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108867</v>
      </c>
      <c r="C5561" s="3">
        <f t="shared" si="151"/>
        <v>-103311</v>
      </c>
      <c r="E5561" s="2" t="b">
        <f t="shared" ca="1" si="150"/>
        <v>1</v>
      </c>
      <c r="F5561" s="2" cm="1">
        <f t="array" aca="1" ref="F5561" ca="1">IF(G5561&lt;&gt;"",INDIRECT("'"&amp;G5561&amp;"'!"&amp;H5561),"")</f>
        <v>108867</v>
      </c>
      <c r="G5561" s="1582" t="s">
        <v>6962</v>
      </c>
      <c r="H5561" s="2" t="s">
        <v>4833</v>
      </c>
    </row>
    <row r="5562" spans="1:11" x14ac:dyDescent="0.2">
      <c r="A5562">
        <v>5557</v>
      </c>
      <c r="B5562" s="7">
        <f>'EstRev 6-11'!F157</f>
        <v>351721</v>
      </c>
      <c r="C5562" s="3">
        <f t="shared" si="151"/>
        <v>-346164</v>
      </c>
      <c r="E5562" s="2" t="b">
        <f t="shared" ca="1" si="150"/>
        <v>1</v>
      </c>
      <c r="F5562" s="2" cm="1">
        <f t="array" aca="1" ref="F5562" ca="1">IF(G5562&lt;&gt;"",INDIRECT("'"&amp;G5562&amp;"'!"&amp;H5562),"")</f>
        <v>351721</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351721</v>
      </c>
      <c r="C5588" s="3">
        <f t="shared" ref="C5588:C5639" si="153">A5588-B5588</f>
        <v>-346138</v>
      </c>
      <c r="E5588" s="2" t="b">
        <f t="shared" ca="1" si="152"/>
        <v>1</v>
      </c>
      <c r="F5588" s="2" cm="1">
        <f t="array" aca="1" ref="F5588" ca="1">IF(G5588&lt;&gt;"",INDIRECT("'"&amp;G5588&amp;"'!"&amp;H5588),"")</f>
        <v>351721</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540476</v>
      </c>
      <c r="C5597" s="3">
        <f t="shared" si="153"/>
        <v>-534884</v>
      </c>
      <c r="E5597" s="2" t="b">
        <f t="shared" ca="1" si="152"/>
        <v>1</v>
      </c>
      <c r="F5597" s="2" cm="1">
        <f t="array" aca="1" ref="F5597" ca="1">IF(G5597&lt;&gt;"",INDIRECT("'"&amp;G5597&amp;"'!"&amp;H5597),"")</f>
        <v>540476</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757774</v>
      </c>
      <c r="C5664" s="3">
        <f t="shared" si="155"/>
        <v>-752115</v>
      </c>
      <c r="E5664" s="2" t="b">
        <f t="shared" ca="1" si="154"/>
        <v>1</v>
      </c>
      <c r="F5664" s="2" cm="1">
        <f t="array" aca="1" ref="F5664" ca="1">IF(G5664&lt;&gt;"",INDIRECT("'"&amp;G5664&amp;"'!"&amp;H5664),"")</f>
        <v>757774</v>
      </c>
      <c r="G5664" s="1582" t="s">
        <v>6962</v>
      </c>
      <c r="H5664" s="2" t="s">
        <v>5652</v>
      </c>
    </row>
    <row r="5665" spans="1:8" x14ac:dyDescent="0.2">
      <c r="A5665">
        <v>5660</v>
      </c>
      <c r="B5665" s="7">
        <f>'EstRev 6-11'!G5</f>
        <v>151540</v>
      </c>
      <c r="C5665" s="3">
        <f t="shared" si="155"/>
        <v>-145880</v>
      </c>
      <c r="E5665" s="2" t="b">
        <f t="shared" ca="1" si="154"/>
        <v>1</v>
      </c>
      <c r="F5665" s="2" cm="1">
        <f t="array" aca="1" ref="F5665" ca="1">IF(G5665&lt;&gt;"",INDIRECT("'"&amp;G5665&amp;"'!"&amp;H5665),"")</f>
        <v>151540</v>
      </c>
      <c r="G5665" s="1582" t="s">
        <v>6962</v>
      </c>
      <c r="H5665" s="2" t="s">
        <v>4682</v>
      </c>
    </row>
    <row r="5666" spans="1:8" x14ac:dyDescent="0.2">
      <c r="A5666">
        <v>5661</v>
      </c>
      <c r="B5666" s="7">
        <f>'EstRev 6-11'!G7</f>
        <v>11120</v>
      </c>
      <c r="C5666" s="3">
        <f t="shared" si="155"/>
        <v>-5459</v>
      </c>
      <c r="E5666" s="2" t="b">
        <f t="shared" ca="1" si="154"/>
        <v>1</v>
      </c>
      <c r="F5666" s="2" cm="1">
        <f t="array" aca="1" ref="F5666" ca="1">IF(G5666&lt;&gt;"",INDIRECT("'"&amp;G5666&amp;"'!"&amp;H5666),"")</f>
        <v>11120</v>
      </c>
      <c r="G5666" s="1582" t="s">
        <v>6962</v>
      </c>
      <c r="H5666" s="2" t="s">
        <v>5083</v>
      </c>
    </row>
    <row r="5667" spans="1:8" x14ac:dyDescent="0.2">
      <c r="A5667">
        <v>5662</v>
      </c>
      <c r="B5667" s="7">
        <f>'EstRev 6-11'!G8</f>
        <v>180400</v>
      </c>
      <c r="C5667" s="3">
        <f t="shared" si="155"/>
        <v>-174738</v>
      </c>
      <c r="E5667" s="2" t="b">
        <f t="shared" ca="1" si="154"/>
        <v>1</v>
      </c>
      <c r="F5667" s="2" cm="1">
        <f t="array" aca="1" ref="F5667" ca="1">IF(G5667&lt;&gt;"",INDIRECT("'"&amp;G5667&amp;"'!"&amp;H5667),"")</f>
        <v>180400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343060</v>
      </c>
      <c r="C5669" s="3">
        <f t="shared" si="155"/>
        <v>-337396</v>
      </c>
      <c r="E5669" s="2" t="b">
        <f t="shared" ca="1" si="154"/>
        <v>1</v>
      </c>
      <c r="F5669" s="2" cm="1">
        <f t="array" aca="1" ref="F5669" ca="1">IF(G5669&lt;&gt;"",INDIRECT("'"&amp;G5669&amp;"'!"&amp;H5669),"")</f>
        <v>343060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0</v>
      </c>
      <c r="C5672" s="3">
        <f t="shared" si="155"/>
        <v>5667</v>
      </c>
      <c r="E5672" s="2" t="b">
        <f t="shared" ca="1" si="154"/>
        <v>1</v>
      </c>
      <c r="F5672" s="2" cm="1">
        <f t="array" aca="1" ref="F5672" ca="1">IF(G5672&lt;&gt;"",INDIRECT("'"&amp;G5672&amp;"'!"&amp;H5672),"")</f>
        <v>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0</v>
      </c>
      <c r="C5674" s="3">
        <f t="shared" si="155"/>
        <v>5669</v>
      </c>
      <c r="E5674" s="2" t="b">
        <f t="shared" ca="1" si="154"/>
        <v>1</v>
      </c>
      <c r="F5674" s="2" cm="1">
        <f t="array" aca="1" ref="F5674" ca="1">IF(G5674&lt;&gt;"",INDIRECT("'"&amp;G5674&amp;"'!"&amp;H5674),"")</f>
        <v>0</v>
      </c>
      <c r="G5674" s="1582" t="s">
        <v>6962</v>
      </c>
      <c r="H5674" s="2" t="s">
        <v>4416</v>
      </c>
    </row>
    <row r="5675" spans="1:8" x14ac:dyDescent="0.2">
      <c r="A5675">
        <v>5670</v>
      </c>
      <c r="B5675" s="7">
        <f>'EstRev 6-11'!G65</f>
        <v>13000</v>
      </c>
      <c r="C5675" s="3">
        <f t="shared" si="155"/>
        <v>-7330</v>
      </c>
      <c r="E5675" s="2" t="b">
        <f t="shared" ca="1" si="154"/>
        <v>1</v>
      </c>
      <c r="F5675" s="2" cm="1">
        <f t="array" aca="1" ref="F5675" ca="1">IF(G5675&lt;&gt;"",INDIRECT("'"&amp;G5675&amp;"'!"&amp;H5675),"")</f>
        <v>13000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13000</v>
      </c>
      <c r="C5677" s="3">
        <f t="shared" si="155"/>
        <v>-7328</v>
      </c>
      <c r="E5677" s="2" t="b">
        <f t="shared" ca="1" si="154"/>
        <v>1</v>
      </c>
      <c r="F5677" s="2" cm="1">
        <f t="array" aca="1" ref="F5677" ca="1">IF(G5677&lt;&gt;"",INDIRECT("'"&amp;G5677&amp;"'!"&amp;H5677),"")</f>
        <v>13000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356060</v>
      </c>
      <c r="C5814" s="3">
        <f t="shared" si="159"/>
        <v>-350251</v>
      </c>
      <c r="E5814" s="2" t="b">
        <f t="shared" ca="1" si="158"/>
        <v>1</v>
      </c>
      <c r="F5814" s="2" cm="1">
        <f t="array" aca="1" ref="F5814" ca="1">IF(G5814&lt;&gt;"",INDIRECT("'"&amp;G5814&amp;"'!"&amp;H5814),"")</f>
        <v>356060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0</v>
      </c>
      <c r="C5823" s="3">
        <f t="shared" si="159"/>
        <v>5818</v>
      </c>
      <c r="E5823" s="2" t="b">
        <f t="shared" ca="1" si="158"/>
        <v>1</v>
      </c>
      <c r="F5823" s="2" cm="1">
        <f t="array" aca="1" ref="F5823" ca="1">IF(G5823&lt;&gt;"",INDIRECT("'"&amp;G5823&amp;"'!"&amp;H5823),"")</f>
        <v>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0</v>
      </c>
      <c r="C5825" s="3">
        <f t="shared" si="159"/>
        <v>5820</v>
      </c>
      <c r="E5825" s="2" t="b">
        <f t="shared" ca="1" si="158"/>
        <v>1</v>
      </c>
      <c r="F5825" s="2" cm="1">
        <f t="array" aca="1" ref="F5825" ca="1">IF(G5825&lt;&gt;"",INDIRECT("'"&amp;G5825&amp;"'!"&amp;H5825),"")</f>
        <v>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0</v>
      </c>
      <c r="C5830" s="3">
        <f t="shared" si="159"/>
        <v>5825</v>
      </c>
      <c r="E5830" s="2" t="b">
        <f t="shared" ca="1" si="160"/>
        <v>1</v>
      </c>
      <c r="F5830" s="2" cm="1">
        <f t="array" aca="1" ref="F5830" ca="1">IF(G5830&lt;&gt;"",INDIRECT("'"&amp;G5830&amp;"'!"&amp;H5830),"")</f>
        <v>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0</v>
      </c>
      <c r="C5859" s="3">
        <f t="shared" si="161"/>
        <v>5854</v>
      </c>
      <c r="E5859" s="2" t="b">
        <f t="shared" ca="1" si="160"/>
        <v>1</v>
      </c>
      <c r="F5859" s="2" cm="1">
        <f t="array" aca="1" ref="F5859" ca="1">IF(G5859&lt;&gt;"",INDIRECT("'"&amp;G5859&amp;"'!"&amp;H5859),"")</f>
        <v>0</v>
      </c>
      <c r="G5859" s="1582" t="s">
        <v>6962</v>
      </c>
      <c r="H5859" s="2" t="s">
        <v>5703</v>
      </c>
    </row>
    <row r="5860" spans="1:11" x14ac:dyDescent="0.2">
      <c r="A5860">
        <v>5855</v>
      </c>
      <c r="B5860" s="7">
        <f>'EstRev 6-11'!I5</f>
        <v>60889</v>
      </c>
      <c r="C5860" s="3">
        <f t="shared" si="161"/>
        <v>-55034</v>
      </c>
      <c r="E5860" s="2" t="b">
        <f t="shared" ca="1" si="160"/>
        <v>1</v>
      </c>
      <c r="F5860" s="2" cm="1">
        <f t="array" aca="1" ref="F5860" ca="1">IF(G5860&lt;&gt;"",INDIRECT("'"&amp;G5860&amp;"'!"&amp;H5860),"")</f>
        <v>60889</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60889</v>
      </c>
      <c r="C5862" s="3">
        <f t="shared" si="161"/>
        <v>-55032</v>
      </c>
      <c r="E5862" s="2" t="b">
        <f t="shared" ca="1" si="160"/>
        <v>1</v>
      </c>
      <c r="F5862" s="2" cm="1">
        <f t="array" aca="1" ref="F5862" ca="1">IF(G5862&lt;&gt;"",INDIRECT("'"&amp;G5862&amp;"'!"&amp;H5862),"")</f>
        <v>60889</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9000</v>
      </c>
      <c r="C5868" s="3">
        <f t="shared" si="161"/>
        <v>-3137</v>
      </c>
      <c r="E5868" s="2" t="b">
        <f t="shared" ca="1" si="160"/>
        <v>1</v>
      </c>
      <c r="F5868" s="2" cm="1">
        <f t="array" aca="1" ref="F5868" ca="1">IF(G5868&lt;&gt;"",INDIRECT("'"&amp;G5868&amp;"'!"&amp;H5868),"")</f>
        <v>9000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9000</v>
      </c>
      <c r="C5870" s="3">
        <f t="shared" si="161"/>
        <v>-3135</v>
      </c>
      <c r="E5870" s="2" t="b">
        <f t="shared" ca="1" si="160"/>
        <v>1</v>
      </c>
      <c r="F5870" s="2" cm="1">
        <f t="array" aca="1" ref="F5870" ca="1">IF(G5870&lt;&gt;"",INDIRECT("'"&amp;G5870&amp;"'!"&amp;H5870),"")</f>
        <v>9000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69889</v>
      </c>
      <c r="C5890" s="3">
        <f t="shared" si="161"/>
        <v>-64004</v>
      </c>
      <c r="E5890" s="2" t="b">
        <f t="shared" ref="E5890:E5953" ca="1" si="162">F5890=B5890</f>
        <v>1</v>
      </c>
      <c r="F5890" s="2" cm="1">
        <f t="array" aca="1" ref="F5890" ca="1">IF(G5890&lt;&gt;"",INDIRECT("'"&amp;G5890&amp;"'!"&amp;H5890),"")</f>
        <v>69889</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0</v>
      </c>
      <c r="C5929" s="3">
        <f t="shared" ref="C5929:C5958" si="163">A5929-B5929</f>
        <v>5924</v>
      </c>
      <c r="E5929" s="2" t="b">
        <f t="shared" ca="1" si="162"/>
        <v>1</v>
      </c>
      <c r="F5929" s="2" cm="1">
        <f t="array" aca="1" ref="F5929" ca="1">IF(G5929&lt;&gt;"",INDIRECT("'"&amp;G5929&amp;"'!"&amp;H5929),"")</f>
        <v>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0</v>
      </c>
      <c r="C5931" s="3">
        <f t="shared" si="163"/>
        <v>5926</v>
      </c>
      <c r="E5931" s="2" t="b">
        <f t="shared" ca="1" si="162"/>
        <v>1</v>
      </c>
      <c r="F5931" s="2" cm="1">
        <f t="array" aca="1" ref="F5931" ca="1">IF(G5931&lt;&gt;"",INDIRECT("'"&amp;G5931&amp;"'!"&amp;H5931),"")</f>
        <v>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0</v>
      </c>
      <c r="C5937" s="3">
        <f t="shared" si="163"/>
        <v>5932</v>
      </c>
      <c r="E5937" s="2" t="b">
        <f t="shared" ca="1" si="162"/>
        <v>1</v>
      </c>
      <c r="F5937" s="2" cm="1">
        <f t="array" aca="1" ref="F5937" ca="1">IF(G5937&lt;&gt;"",INDIRECT("'"&amp;G5937&amp;"'!"&amp;H5937),"")</f>
        <v>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0</v>
      </c>
      <c r="C5939" s="3">
        <f t="shared" si="163"/>
        <v>5934</v>
      </c>
      <c r="E5939" s="2" t="b">
        <f t="shared" ca="1" si="162"/>
        <v>1</v>
      </c>
      <c r="F5939" s="2" cm="1">
        <f t="array" aca="1" ref="F5939" ca="1">IF(G5939&lt;&gt;"",INDIRECT("'"&amp;G5939&amp;"'!"&amp;H5939),"")</f>
        <v>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0</v>
      </c>
      <c r="C5967" s="3">
        <f t="shared" si="165"/>
        <v>5962</v>
      </c>
      <c r="E5967" s="2" t="b">
        <f t="shared" ca="1" si="164"/>
        <v>1</v>
      </c>
      <c r="F5967" s="2" cm="1">
        <f t="array" aca="1" ref="F5967" ca="1">IF(G5967&lt;&gt;"",INDIRECT("'"&amp;G5967&amp;"'!"&amp;H5967),"")</f>
        <v>0</v>
      </c>
      <c r="G5967" s="1582" t="s">
        <v>6962</v>
      </c>
      <c r="H5967" s="2" t="s">
        <v>5011</v>
      </c>
    </row>
    <row r="5968" spans="1:11" x14ac:dyDescent="0.2">
      <c r="A5968">
        <v>5963</v>
      </c>
      <c r="B5968" s="7">
        <f>'EstRev 6-11'!G111</f>
        <v>356060</v>
      </c>
      <c r="C5968" s="3">
        <f t="shared" si="165"/>
        <v>-350097</v>
      </c>
      <c r="E5968" s="2" t="b">
        <f t="shared" ca="1" si="164"/>
        <v>1</v>
      </c>
      <c r="F5968" s="2" cm="1">
        <f t="array" aca="1" ref="F5968" ca="1">IF(G5968&lt;&gt;"",INDIRECT("'"&amp;G5968&amp;"'!"&amp;H5968),"")</f>
        <v>356060</v>
      </c>
      <c r="G5968" s="1582" t="s">
        <v>6962</v>
      </c>
      <c r="H5968" s="2" t="s">
        <v>5720</v>
      </c>
    </row>
    <row r="5969" spans="1:11" x14ac:dyDescent="0.2">
      <c r="A5969">
        <v>5964</v>
      </c>
      <c r="B5969" s="7">
        <f>'EstRev 6-11'!H111</f>
        <v>0</v>
      </c>
      <c r="C5969" s="3">
        <f t="shared" si="165"/>
        <v>5964</v>
      </c>
      <c r="E5969" s="2" t="b">
        <f t="shared" ca="1" si="164"/>
        <v>1</v>
      </c>
      <c r="F5969" s="2" cm="1">
        <f t="array" aca="1" ref="F5969" ca="1">IF(G5969&lt;&gt;"",INDIRECT("'"&amp;G5969&amp;"'!"&amp;H5969),"")</f>
        <v>0</v>
      </c>
      <c r="G5969" s="1582" t="s">
        <v>6962</v>
      </c>
      <c r="H5969" s="2" t="s">
        <v>4759</v>
      </c>
    </row>
    <row r="5970" spans="1:11" x14ac:dyDescent="0.2">
      <c r="A5970">
        <v>5965</v>
      </c>
      <c r="B5970" s="7">
        <f>'EstRev 6-11'!I111</f>
        <v>69889</v>
      </c>
      <c r="C5970" s="3">
        <f t="shared" si="165"/>
        <v>-63924</v>
      </c>
      <c r="E5970" s="2" t="b">
        <f t="shared" ca="1" si="164"/>
        <v>1</v>
      </c>
      <c r="F5970" s="2" cm="1">
        <f t="array" aca="1" ref="F5970" ca="1">IF(G5970&lt;&gt;"",INDIRECT("'"&amp;G5970&amp;"'!"&amp;H5970),"")</f>
        <v>69889</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0</v>
      </c>
      <c r="C5972" s="3">
        <f t="shared" si="165"/>
        <v>5967</v>
      </c>
      <c r="E5972" s="2" t="b">
        <f t="shared" ca="1" si="164"/>
        <v>1</v>
      </c>
      <c r="F5972" s="2" cm="1">
        <f t="array" aca="1" ref="F5972" ca="1">IF(G5972&lt;&gt;"",INDIRECT("'"&amp;G5972&amp;"'!"&amp;H5972),"")</f>
        <v>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1500</v>
      </c>
      <c r="C5975" s="3">
        <f t="shared" si="165"/>
        <v>4470</v>
      </c>
      <c r="E5975" s="2" t="b">
        <f t="shared" ca="1" si="164"/>
        <v>1</v>
      </c>
      <c r="F5975" s="2" cm="1">
        <f t="array" aca="1" ref="F5975" ca="1">IF(G5975&lt;&gt;"",INDIRECT("'"&amp;G5975&amp;"'!"&amp;H5975),"")</f>
        <v>1500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15200</v>
      </c>
      <c r="C5982" s="3">
        <f t="shared" si="165"/>
        <v>-9223</v>
      </c>
      <c r="E5982" s="2" t="b">
        <f t="shared" ca="1" si="164"/>
        <v>1</v>
      </c>
      <c r="F5982" s="2" cm="1">
        <f t="array" aca="1" ref="F5982" ca="1">IF(G5982&lt;&gt;"",INDIRECT("'"&amp;G5982&amp;"'!"&amp;H5982),"")</f>
        <v>15200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117727</v>
      </c>
      <c r="C5985" s="3">
        <f t="shared" si="165"/>
        <v>-111747</v>
      </c>
      <c r="D5985" s="3" t="s">
        <v>63</v>
      </c>
      <c r="E5985" s="2" t="b">
        <f t="shared" ca="1" si="164"/>
        <v>1</v>
      </c>
      <c r="F5985" s="2" cm="1">
        <f t="array" aca="1" ref="F5985" ca="1">IF(G5985&lt;&gt;"",INDIRECT("'"&amp;G5985&amp;"'!"&amp;H5985),"")</f>
        <v>117727</v>
      </c>
      <c r="G5985" s="1582" t="s">
        <v>6959</v>
      </c>
      <c r="H5985" s="2" t="s">
        <v>5725</v>
      </c>
    </row>
    <row r="5986" spans="1:8" x14ac:dyDescent="0.2">
      <c r="A5986">
        <v>5981</v>
      </c>
      <c r="B5986" s="7">
        <f>'BudgetSum 2-4'!J5</f>
        <v>350</v>
      </c>
      <c r="C5986" s="3">
        <f t="shared" si="165"/>
        <v>5631</v>
      </c>
      <c r="D5986" s="3" t="s">
        <v>63</v>
      </c>
      <c r="E5986" s="2" t="b">
        <f t="shared" ca="1" si="164"/>
        <v>1</v>
      </c>
      <c r="F5986" s="2" cm="1">
        <f t="array" aca="1" ref="F5986" ca="1">IF(G5986&lt;&gt;"",INDIRECT("'"&amp;G5986&amp;"'!"&amp;H5986),"")</f>
        <v>350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350</v>
      </c>
      <c r="C5989" s="3">
        <f t="shared" si="165"/>
        <v>5634</v>
      </c>
      <c r="D5989" s="3" t="s">
        <v>63</v>
      </c>
      <c r="E5989" s="2" t="b">
        <f t="shared" ca="1" si="164"/>
        <v>1</v>
      </c>
      <c r="F5989" s="2" cm="1">
        <f t="array" aca="1" ref="F5989" ca="1">IF(G5989&lt;&gt;"",INDIRECT("'"&amp;G5989&amp;"'!"&amp;H5989),"")</f>
        <v>350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350</v>
      </c>
      <c r="C5991" s="3">
        <f t="shared" si="165"/>
        <v>5636</v>
      </c>
      <c r="D5991" s="3" t="s">
        <v>63</v>
      </c>
      <c r="E5991" s="2" t="b">
        <f t="shared" ca="1" si="164"/>
        <v>1</v>
      </c>
      <c r="F5991" s="2" cm="1">
        <f t="array" aca="1" ref="F5991" ca="1">IF(G5991&lt;&gt;"",INDIRECT("'"&amp;G5991&amp;"'!"&amp;H5991),"")</f>
        <v>350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15200</v>
      </c>
      <c r="C5993" s="3">
        <f t="shared" si="165"/>
        <v>-9212</v>
      </c>
      <c r="D5993" s="3" t="s">
        <v>63</v>
      </c>
      <c r="E5993" s="2" t="b">
        <f t="shared" ca="1" si="164"/>
        <v>1</v>
      </c>
      <c r="F5993" s="2" cm="1">
        <f t="array" aca="1" ref="F5993" ca="1">IF(G5993&lt;&gt;"",INDIRECT("'"&amp;G5993&amp;"'!"&amp;H5993),"")</f>
        <v>15200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15200</v>
      </c>
      <c r="C5995" s="3">
        <f t="shared" si="165"/>
        <v>-9210</v>
      </c>
      <c r="D5995" s="3" t="s">
        <v>63</v>
      </c>
      <c r="E5995" s="2" t="b">
        <f t="shared" ca="1" si="164"/>
        <v>1</v>
      </c>
      <c r="F5995" s="2" cm="1">
        <f t="array" aca="1" ref="F5995" ca="1">IF(G5995&lt;&gt;"",INDIRECT("'"&amp;G5995&amp;"'!"&amp;H5995),"")</f>
        <v>15200</v>
      </c>
      <c r="G5995" s="1582" t="s">
        <v>6959</v>
      </c>
      <c r="H5995" s="2" t="s">
        <v>5734</v>
      </c>
    </row>
    <row r="5996" spans="1:8" x14ac:dyDescent="0.2">
      <c r="A5996">
        <v>5991</v>
      </c>
      <c r="B5996" s="7">
        <f>'BudgetSum 2-4'!J22</f>
        <v>-14850</v>
      </c>
      <c r="C5996" s="3">
        <f t="shared" si="165"/>
        <v>20841</v>
      </c>
      <c r="D5996" s="3" t="s">
        <v>63</v>
      </c>
      <c r="E5996" s="2" t="b">
        <f t="shared" ca="1" si="164"/>
        <v>1</v>
      </c>
      <c r="F5996" s="2" cm="1">
        <f t="array" aca="1" ref="F5996" ca="1">IF(G5996&lt;&gt;"",INDIRECT("'"&amp;G5996&amp;"'!"&amp;H5996),"")</f>
        <v>-14850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102877</v>
      </c>
      <c r="C6041" s="3">
        <f t="shared" si="167"/>
        <v>-96841</v>
      </c>
      <c r="D6041" s="3" t="s">
        <v>63</v>
      </c>
      <c r="E6041" s="2" t="b">
        <f t="shared" ca="1" si="166"/>
        <v>1</v>
      </c>
      <c r="F6041" s="2" cm="1">
        <f t="array" aca="1" ref="F6041" ca="1">IF(G6041&lt;&gt;"",INDIRECT("'"&amp;G6041&amp;"'!"&amp;H6041),"")</f>
        <v>102877</v>
      </c>
      <c r="G6041" s="1582" t="s">
        <v>6959</v>
      </c>
      <c r="H6041" s="2" t="s">
        <v>5749</v>
      </c>
    </row>
    <row r="6042" spans="1:19" x14ac:dyDescent="0.2">
      <c r="A6042">
        <v>6037</v>
      </c>
      <c r="B6042" s="8">
        <f>'CashSum 5'!J3</f>
        <v>117727</v>
      </c>
      <c r="C6042" s="3">
        <f t="shared" si="167"/>
        <v>-111690</v>
      </c>
      <c r="D6042" s="3" t="s">
        <v>63</v>
      </c>
      <c r="E6042" s="2" t="b">
        <f t="shared" ca="1" si="166"/>
        <v>1</v>
      </c>
      <c r="F6042" s="2" cm="1">
        <f t="array" aca="1" ref="F6042" ca="1">IF(G6042&lt;&gt;"",INDIRECT("'"&amp;G6042&amp;"'!"&amp;H6042),"")</f>
        <v>117727</v>
      </c>
      <c r="G6042" s="1582" t="s">
        <v>6960</v>
      </c>
      <c r="H6042" s="2" t="s">
        <v>5725</v>
      </c>
      <c r="S6042" s="8"/>
    </row>
    <row r="6043" spans="1:19" x14ac:dyDescent="0.2">
      <c r="A6043">
        <v>6038</v>
      </c>
      <c r="B6043" s="8">
        <f>'CashSum 5'!J4</f>
        <v>350</v>
      </c>
      <c r="C6043" s="3">
        <f t="shared" si="167"/>
        <v>5688</v>
      </c>
      <c r="D6043" s="3" t="s">
        <v>63</v>
      </c>
      <c r="E6043" s="2" t="b">
        <f t="shared" ca="1" si="166"/>
        <v>1</v>
      </c>
      <c r="F6043" s="2" cm="1">
        <f t="array" aca="1" ref="F6043" ca="1">IF(G6043&lt;&gt;"",INDIRECT("'"&amp;G6043&amp;"'!"&amp;H6043),"")</f>
        <v>350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350</v>
      </c>
      <c r="C6055" s="3">
        <f t="shared" si="167"/>
        <v>5700</v>
      </c>
      <c r="D6055" s="3" t="s">
        <v>63</v>
      </c>
      <c r="E6055" s="2" t="b">
        <f t="shared" ca="1" si="166"/>
        <v>1</v>
      </c>
      <c r="F6055" s="2" cm="1">
        <f t="array" aca="1" ref="F6055" ca="1">IF(G6055&lt;&gt;"",INDIRECT("'"&amp;G6055&amp;"'!"&amp;H6055),"")</f>
        <v>350</v>
      </c>
      <c r="G6055" s="1582" t="s">
        <v>6960</v>
      </c>
      <c r="H6055" s="2" t="s">
        <v>5731</v>
      </c>
      <c r="S6055" s="8"/>
    </row>
    <row r="6056" spans="1:19" x14ac:dyDescent="0.2">
      <c r="A6056">
        <v>6051</v>
      </c>
      <c r="B6056" s="8">
        <f>'CashSum 5'!J12</f>
        <v>118077</v>
      </c>
      <c r="C6056" s="3">
        <f t="shared" si="167"/>
        <v>-112026</v>
      </c>
      <c r="D6056" s="3" t="s">
        <v>63</v>
      </c>
      <c r="E6056" s="2" t="b">
        <f t="shared" ca="1" si="166"/>
        <v>1</v>
      </c>
      <c r="F6056" s="2" cm="1">
        <f t="array" aca="1" ref="F6056" ca="1">IF(G6056&lt;&gt;"",INDIRECT("'"&amp;G6056&amp;"'!"&amp;H6056),"")</f>
        <v>118077</v>
      </c>
      <c r="G6056" s="1582" t="s">
        <v>6960</v>
      </c>
      <c r="H6056" s="2" t="s">
        <v>5752</v>
      </c>
      <c r="S6056" s="8"/>
    </row>
    <row r="6057" spans="1:19" x14ac:dyDescent="0.2">
      <c r="A6057">
        <v>6052</v>
      </c>
      <c r="B6057" s="8">
        <f>'CashSum 5'!J13</f>
        <v>15200</v>
      </c>
      <c r="C6057" s="3">
        <f t="shared" si="167"/>
        <v>-9148</v>
      </c>
      <c r="D6057" s="3" t="s">
        <v>63</v>
      </c>
      <c r="E6057" s="2" t="b">
        <f t="shared" ca="1" si="166"/>
        <v>1</v>
      </c>
      <c r="F6057" s="2" cm="1">
        <f t="array" aca="1" ref="F6057" ca="1">IF(G6057&lt;&gt;"",INDIRECT("'"&amp;G6057&amp;"'!"&amp;H6057),"")</f>
        <v>15200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15200</v>
      </c>
      <c r="C6061" s="3">
        <f t="shared" si="167"/>
        <v>-9144</v>
      </c>
      <c r="D6061" s="3" t="s">
        <v>63</v>
      </c>
      <c r="E6061" s="2" t="b">
        <f t="shared" ca="1" si="166"/>
        <v>1</v>
      </c>
      <c r="F6061" s="2" cm="1">
        <f t="array" aca="1" ref="F6061" ca="1">IF(G6061&lt;&gt;"",INDIRECT("'"&amp;G6061&amp;"'!"&amp;H6061),"")</f>
        <v>15200</v>
      </c>
      <c r="G6061" s="1582" t="s">
        <v>6960</v>
      </c>
      <c r="H6061" s="2" t="s">
        <v>5733</v>
      </c>
      <c r="S6061" s="8"/>
    </row>
    <row r="6062" spans="1:19" x14ac:dyDescent="0.2">
      <c r="A6062">
        <v>6057</v>
      </c>
      <c r="B6062" s="8">
        <f>'CashSum 5'!J21</f>
        <v>102877</v>
      </c>
      <c r="C6062" s="3">
        <f t="shared" si="167"/>
        <v>-96820</v>
      </c>
      <c r="D6062" s="3" t="s">
        <v>63</v>
      </c>
      <c r="E6062" s="2" t="b">
        <f t="shared" ca="1" si="166"/>
        <v>1</v>
      </c>
      <c r="F6062" s="2" cm="1">
        <f t="array" aca="1" ref="F6062" ca="1">IF(G6062&lt;&gt;"",INDIRECT("'"&amp;G6062&amp;"'!"&amp;H6062),"")</f>
        <v>102877</v>
      </c>
      <c r="G6062" s="1582" t="s">
        <v>6960</v>
      </c>
      <c r="H6062" s="2" t="s">
        <v>5734</v>
      </c>
      <c r="S6062" s="8"/>
    </row>
    <row r="6063" spans="1:19" x14ac:dyDescent="0.2">
      <c r="A6063">
        <v>6058</v>
      </c>
      <c r="B6063" s="7">
        <f>'EstRev 6-11'!J5</f>
        <v>0</v>
      </c>
      <c r="C6063" s="3">
        <f t="shared" si="167"/>
        <v>6058</v>
      </c>
      <c r="D6063" s="3" t="s">
        <v>63</v>
      </c>
      <c r="E6063" s="2" t="b">
        <f t="shared" ca="1" si="166"/>
        <v>1</v>
      </c>
      <c r="F6063" s="2" cm="1">
        <f t="array" aca="1" ref="F6063" ca="1">IF(G6063&lt;&gt;"",INDIRECT("'"&amp;G6063&amp;"'!"&amp;H6063),"")</f>
        <v>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0</v>
      </c>
      <c r="C6067" s="3">
        <f t="shared" si="167"/>
        <v>6062</v>
      </c>
      <c r="D6067" s="3" t="s">
        <v>63</v>
      </c>
      <c r="E6067" s="2" t="b">
        <f t="shared" ca="1" si="166"/>
        <v>1</v>
      </c>
      <c r="F6067" s="2" cm="1">
        <f t="array" aca="1" ref="F6067" ca="1">IF(G6067&lt;&gt;"",INDIRECT("'"&amp;G6067&amp;"'!"&amp;H6067),"")</f>
        <v>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350</v>
      </c>
      <c r="C6083" s="3">
        <f t="shared" si="167"/>
        <v>5728</v>
      </c>
      <c r="D6083" s="3" t="s">
        <v>63</v>
      </c>
      <c r="E6083" s="2" t="b">
        <f t="shared" ca="1" si="168"/>
        <v>1</v>
      </c>
      <c r="F6083" s="2" cm="1">
        <f t="array" aca="1" ref="F6083" ca="1">IF(G6083&lt;&gt;"",INDIRECT("'"&amp;G6083&amp;"'!"&amp;H6083),"")</f>
        <v>350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350</v>
      </c>
      <c r="C6085" s="3">
        <f t="shared" si="167"/>
        <v>5730</v>
      </c>
      <c r="D6085" s="3" t="s">
        <v>63</v>
      </c>
      <c r="E6085" s="2" t="b">
        <f t="shared" ca="1" si="168"/>
        <v>1</v>
      </c>
      <c r="F6085" s="2" cm="1">
        <f t="array" aca="1" ref="F6085" ca="1">IF(G6085&lt;&gt;"",INDIRECT("'"&amp;G6085&amp;"'!"&amp;H6085),"")</f>
        <v>350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0</v>
      </c>
      <c r="C6105" s="3">
        <f t="shared" si="169"/>
        <v>6100</v>
      </c>
      <c r="D6105" s="3" t="s">
        <v>63</v>
      </c>
      <c r="E6105" s="2" t="b">
        <f t="shared" ca="1" si="168"/>
        <v>1</v>
      </c>
      <c r="F6105" s="2" cm="1">
        <f t="array" aca="1" ref="F6105" ca="1">IF(G6105&lt;&gt;"",INDIRECT("'"&amp;G6105&amp;"'!"&amp;H6105),"")</f>
        <v>0</v>
      </c>
      <c r="G6105" s="1582" t="s">
        <v>6962</v>
      </c>
      <c r="H6105" s="2" t="s">
        <v>5783</v>
      </c>
    </row>
    <row r="6106" spans="1:8" x14ac:dyDescent="0.2">
      <c r="A6106">
        <v>6101</v>
      </c>
      <c r="B6106" s="7">
        <f>'EstRev 6-11'!C104</f>
        <v>4000</v>
      </c>
      <c r="C6106" s="3">
        <f t="shared" si="169"/>
        <v>2101</v>
      </c>
      <c r="D6106" s="3" t="s">
        <v>63</v>
      </c>
      <c r="E6106" s="2" t="b">
        <f t="shared" ca="1" si="168"/>
        <v>1</v>
      </c>
      <c r="F6106" s="2" cm="1">
        <f t="array" aca="1" ref="F6106" ca="1">IF(G6106&lt;&gt;"",INDIRECT("'"&amp;G6106&amp;"'!"&amp;H6106),"")</f>
        <v>4000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350</v>
      </c>
      <c r="C6125" s="3">
        <f t="shared" si="169"/>
        <v>5770</v>
      </c>
      <c r="D6125" s="3" t="s">
        <v>63</v>
      </c>
      <c r="E6125" s="2" t="b">
        <f t="shared" ca="1" si="168"/>
        <v>1</v>
      </c>
      <c r="F6125" s="2" cm="1">
        <f t="array" aca="1" ref="F6125" ca="1">IF(G6125&lt;&gt;"",INDIRECT("'"&amp;G6125&amp;"'!"&amp;H6125),"")</f>
        <v>350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0</v>
      </c>
      <c r="C6131" s="3">
        <f t="shared" si="169"/>
        <v>6126</v>
      </c>
      <c r="D6131" s="3" t="s">
        <v>63</v>
      </c>
      <c r="E6131" s="2" t="b">
        <f t="shared" ca="1" si="168"/>
        <v>1</v>
      </c>
      <c r="F6131" s="2" cm="1">
        <f t="array" aca="1" ref="F6131" ca="1">IF(G6131&lt;&gt;"",INDIRECT("'"&amp;G6131&amp;"'!"&amp;H6131),"")</f>
        <v>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350</v>
      </c>
      <c r="C6187" s="3">
        <f t="shared" si="171"/>
        <v>5832</v>
      </c>
      <c r="D6187" s="3" t="s">
        <v>63</v>
      </c>
      <c r="E6187" s="2" t="b">
        <f t="shared" ca="1" si="170"/>
        <v>1</v>
      </c>
      <c r="F6187" s="2" cm="1">
        <f t="array" aca="1" ref="F6187" ca="1">IF(G6187&lt;&gt;"",INDIRECT("'"&amp;G6187&amp;"'!"&amp;H6187),"")</f>
        <v>350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157378</v>
      </c>
      <c r="C6190" s="3">
        <f t="shared" si="171"/>
        <v>-151193</v>
      </c>
      <c r="D6190" s="3" t="s">
        <v>63</v>
      </c>
      <c r="E6190" s="2" t="b">
        <f t="shared" ca="1" si="170"/>
        <v>1</v>
      </c>
      <c r="F6190" s="2" cm="1">
        <f t="array" aca="1" ref="F6190" ca="1">IF(G6190&lt;&gt;"",INDIRECT("'"&amp;G6190&amp;"'!"&amp;H6190),"")</f>
        <v>157378</v>
      </c>
      <c r="G6190" s="1582" t="s">
        <v>6961</v>
      </c>
      <c r="H6190" s="2" t="s">
        <v>4420</v>
      </c>
    </row>
    <row r="6191" spans="1:8" x14ac:dyDescent="0.2">
      <c r="A6191">
        <v>6186</v>
      </c>
      <c r="B6191" s="7">
        <f>'EstExp 12-20'!D7</f>
        <v>31540</v>
      </c>
      <c r="C6191" s="3">
        <f t="shared" si="171"/>
        <v>-25354</v>
      </c>
      <c r="D6191" s="3" t="s">
        <v>63</v>
      </c>
      <c r="E6191" s="2" t="b">
        <f t="shared" ca="1" si="170"/>
        <v>1</v>
      </c>
      <c r="F6191" s="2" cm="1">
        <f t="array" aca="1" ref="F6191" ca="1">IF(G6191&lt;&gt;"",INDIRECT("'"&amp;G6191&amp;"'!"&amp;H6191),"")</f>
        <v>31540</v>
      </c>
      <c r="G6191" s="1582" t="s">
        <v>6961</v>
      </c>
      <c r="H6191" s="2" t="s">
        <v>4433</v>
      </c>
    </row>
    <row r="6192" spans="1:8" x14ac:dyDescent="0.2">
      <c r="A6192">
        <v>6187</v>
      </c>
      <c r="B6192" s="7">
        <f>'EstExp 12-20'!E7</f>
        <v>3260</v>
      </c>
      <c r="C6192" s="3">
        <f t="shared" si="171"/>
        <v>2927</v>
      </c>
      <c r="D6192" s="3" t="s">
        <v>63</v>
      </c>
      <c r="E6192" s="2" t="b">
        <f t="shared" ca="1" si="170"/>
        <v>1</v>
      </c>
      <c r="F6192" s="2" cm="1">
        <f t="array" aca="1" ref="F6192" ca="1">IF(G6192&lt;&gt;"",INDIRECT("'"&amp;G6192&amp;"'!"&amp;H6192),"")</f>
        <v>3260</v>
      </c>
      <c r="G6192" s="1582" t="s">
        <v>6961</v>
      </c>
      <c r="H6192" s="2" t="s">
        <v>5087</v>
      </c>
    </row>
    <row r="6193" spans="1:8" x14ac:dyDescent="0.2">
      <c r="A6193">
        <v>6188</v>
      </c>
      <c r="B6193" s="7">
        <f>'EstExp 12-20'!F7</f>
        <v>1804</v>
      </c>
      <c r="C6193" s="3">
        <f t="shared" si="171"/>
        <v>4384</v>
      </c>
      <c r="D6193" s="3" t="s">
        <v>63</v>
      </c>
      <c r="E6193" s="2" t="b">
        <f t="shared" ca="1" si="170"/>
        <v>1</v>
      </c>
      <c r="F6193" s="2" cm="1">
        <f t="array" aca="1" ref="F6193" ca="1">IF(G6193&lt;&gt;"",INDIRECT("'"&amp;G6193&amp;"'!"&amp;H6193),"")</f>
        <v>1804</v>
      </c>
      <c r="G6193" s="1582" t="s">
        <v>6961</v>
      </c>
      <c r="H6193" s="2" t="s">
        <v>4455</v>
      </c>
    </row>
    <row r="6194" spans="1:8" x14ac:dyDescent="0.2">
      <c r="A6194">
        <v>6189</v>
      </c>
      <c r="B6194" s="7">
        <f>'EstExp 12-20'!G7</f>
        <v>0</v>
      </c>
      <c r="C6194" s="3">
        <f t="shared" si="171"/>
        <v>6189</v>
      </c>
      <c r="D6194" s="3" t="s">
        <v>63</v>
      </c>
      <c r="E6194" s="2" t="b">
        <f t="shared" ca="1" si="170"/>
        <v>1</v>
      </c>
      <c r="F6194" s="2" cm="1">
        <f t="array" aca="1" ref="F6194" ca="1">IF(G6194&lt;&gt;"",INDIRECT("'"&amp;G6194&amp;"'!"&amp;H6194),"")</f>
        <v>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193982</v>
      </c>
      <c r="C6198" s="3">
        <f t="shared" si="171"/>
        <v>-187789</v>
      </c>
      <c r="D6198" s="3" t="s">
        <v>63</v>
      </c>
      <c r="E6198" s="2" t="b">
        <f t="shared" ca="1" si="170"/>
        <v>1</v>
      </c>
      <c r="F6198" s="2" cm="1">
        <f t="array" aca="1" ref="F6198" ca="1">IF(G6198&lt;&gt;"",INDIRECT("'"&amp;G6198&amp;"'!"&amp;H6198),"")</f>
        <v>193982</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82" t="s">
        <v>6961</v>
      </c>
      <c r="H6201" s="2" t="s">
        <v>5076</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82" t="s">
        <v>6961</v>
      </c>
      <c r="H6202" s="2" t="s">
        <v>5078</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82" t="s">
        <v>6961</v>
      </c>
      <c r="H6203" s="2" t="s">
        <v>5088</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82" t="s">
        <v>6961</v>
      </c>
      <c r="H6204" s="2" t="s">
        <v>5081</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0</v>
      </c>
      <c r="C6231" s="3">
        <f t="shared" si="173"/>
        <v>6226</v>
      </c>
      <c r="D6231" s="3" t="s">
        <v>63</v>
      </c>
      <c r="E6231" s="2" t="b">
        <f t="shared" ca="1" si="172"/>
        <v>1</v>
      </c>
      <c r="F6231" s="2" cm="1">
        <f t="array" aca="1" ref="F6231" ca="1">IF(G6231&lt;&gt;"",INDIRECT("'"&amp;G6231&amp;"'!"&amp;H6231),"")</f>
        <v>0</v>
      </c>
      <c r="G6231" s="1582" t="s">
        <v>6961</v>
      </c>
      <c r="H6231" s="2" t="s">
        <v>4427</v>
      </c>
    </row>
    <row r="6232" spans="1:8" x14ac:dyDescent="0.2">
      <c r="A6232">
        <v>6227</v>
      </c>
      <c r="B6232" s="7">
        <f>'EstExp 12-20'!D17</f>
        <v>0</v>
      </c>
      <c r="C6232" s="3">
        <f t="shared" si="173"/>
        <v>6227</v>
      </c>
      <c r="D6232" s="3" t="s">
        <v>63</v>
      </c>
      <c r="E6232" s="2" t="b">
        <f t="shared" ca="1" si="172"/>
        <v>1</v>
      </c>
      <c r="F6232" s="2" cm="1">
        <f t="array" aca="1" ref="F6232" ca="1">IF(G6232&lt;&gt;"",INDIRECT("'"&amp;G6232&amp;"'!"&amp;H6232),"")</f>
        <v>0</v>
      </c>
      <c r="G6232" s="1582" t="s">
        <v>6961</v>
      </c>
      <c r="H6232" s="2" t="s">
        <v>4440</v>
      </c>
    </row>
    <row r="6233" spans="1:8" x14ac:dyDescent="0.2">
      <c r="A6233">
        <v>6228</v>
      </c>
      <c r="B6233" s="7">
        <f>'EstExp 12-20'!E17</f>
        <v>0</v>
      </c>
      <c r="C6233" s="3">
        <f t="shared" si="173"/>
        <v>6228</v>
      </c>
      <c r="D6233" s="3" t="s">
        <v>63</v>
      </c>
      <c r="E6233" s="2" t="b">
        <f t="shared" ca="1" si="172"/>
        <v>1</v>
      </c>
      <c r="F6233" s="2" cm="1">
        <f t="array" aca="1" ref="F6233" ca="1">IF(G6233&lt;&gt;"",INDIRECT("'"&amp;G6233&amp;"'!"&amp;H6233),"")</f>
        <v>0</v>
      </c>
      <c r="G6233" s="1582" t="s">
        <v>6961</v>
      </c>
      <c r="H6233" s="2" t="s">
        <v>5089</v>
      </c>
    </row>
    <row r="6234" spans="1:8" x14ac:dyDescent="0.2">
      <c r="A6234">
        <v>6229</v>
      </c>
      <c r="B6234" s="7">
        <f>'EstExp 12-20'!F17</f>
        <v>0</v>
      </c>
      <c r="C6234" s="3">
        <f t="shared" si="173"/>
        <v>6229</v>
      </c>
      <c r="D6234" s="3" t="s">
        <v>63</v>
      </c>
      <c r="E6234" s="2" t="b">
        <f t="shared" ca="1" si="172"/>
        <v>1</v>
      </c>
      <c r="F6234" s="2" cm="1">
        <f t="array" aca="1" ref="F6234" ca="1">IF(G6234&lt;&gt;"",INDIRECT("'"&amp;G6234&amp;"'!"&amp;H6234),"")</f>
        <v>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0</v>
      </c>
      <c r="C6239" s="3">
        <f t="shared" si="173"/>
        <v>6234</v>
      </c>
      <c r="D6239" s="3" t="s">
        <v>63</v>
      </c>
      <c r="E6239" s="2" t="b">
        <f t="shared" ca="1" si="172"/>
        <v>1</v>
      </c>
      <c r="F6239" s="2" cm="1">
        <f t="array" aca="1" ref="F6239" ca="1">IF(G6239&lt;&gt;"",INDIRECT("'"&amp;G6239&amp;"'!"&amp;H6239),"")</f>
        <v>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525000</v>
      </c>
      <c r="C6247" s="3">
        <f t="shared" si="173"/>
        <v>-518758</v>
      </c>
      <c r="D6247" s="3" t="s">
        <v>63</v>
      </c>
      <c r="E6247" s="2" t="b">
        <f t="shared" ca="1" si="172"/>
        <v>1</v>
      </c>
      <c r="F6247" s="2" cm="1">
        <f t="array" aca="1" ref="F6247" ca="1">IF(G6247&lt;&gt;"",INDIRECT("'"&amp;G6247&amp;"'!"&amp;H6247),"")</f>
        <v>525000</v>
      </c>
      <c r="G6247" s="1582" t="s">
        <v>6961</v>
      </c>
      <c r="H6247" s="2" t="s">
        <v>5094</v>
      </c>
    </row>
    <row r="6248" spans="1:8" x14ac:dyDescent="0.2">
      <c r="A6248">
        <v>6243</v>
      </c>
      <c r="B6248" s="7">
        <f>'EstExp 12-20'!K22</f>
        <v>525000</v>
      </c>
      <c r="C6248" s="3">
        <f t="shared" si="173"/>
        <v>-518757</v>
      </c>
      <c r="D6248" s="3" t="s">
        <v>63</v>
      </c>
      <c r="E6248" s="2" t="b">
        <f t="shared" ca="1" si="172"/>
        <v>1</v>
      </c>
      <c r="F6248" s="2" cm="1">
        <f t="array" aca="1" ref="F6248" ca="1">IF(G6248&lt;&gt;"",INDIRECT("'"&amp;G6248&amp;"'!"&amp;H6248),"")</f>
        <v>525000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6961</v>
      </c>
      <c r="H6339" s="2" t="s">
        <v>5925</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6961</v>
      </c>
      <c r="H6340" s="2" t="s">
        <v>5926</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82" t="s">
        <v>6961</v>
      </c>
      <c r="H6341" s="2" t="s">
        <v>5927</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8763</v>
      </c>
      <c r="C6408" s="3">
        <f t="shared" ref="C6408:C6471" si="179">A6408-B6408</f>
        <v>-2360</v>
      </c>
      <c r="D6408" s="3" t="s">
        <v>63</v>
      </c>
      <c r="E6408" s="2" t="b">
        <f t="shared" ca="1" si="178"/>
        <v>1</v>
      </c>
      <c r="F6408" s="2" cm="1">
        <f t="array" aca="1" ref="F6408" ca="1">IF(G6408&lt;&gt;"",INDIRECT("'"&amp;G6408&amp;"'!"&amp;H6408),"")</f>
        <v>8763</v>
      </c>
      <c r="G6408" s="1582" t="s">
        <v>6961</v>
      </c>
      <c r="H6408" s="2" t="s">
        <v>5599</v>
      </c>
    </row>
    <row r="6409" spans="1:8" x14ac:dyDescent="0.2">
      <c r="A6409">
        <v>6404</v>
      </c>
      <c r="B6409" s="7">
        <f>'EstExp 12-20'!K220</f>
        <v>8763</v>
      </c>
      <c r="C6409" s="3">
        <f t="shared" si="179"/>
        <v>-2359</v>
      </c>
      <c r="D6409" s="3" t="s">
        <v>63</v>
      </c>
      <c r="E6409" s="2" t="b">
        <f t="shared" ca="1" si="178"/>
        <v>1</v>
      </c>
      <c r="F6409" s="2" cm="1">
        <f t="array" aca="1" ref="F6409" ca="1">IF(G6409&lt;&gt;"",INDIRECT("'"&amp;G6409&amp;"'!"&amp;H6409),"")</f>
        <v>8763</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0</v>
      </c>
      <c r="C6414" s="3">
        <f t="shared" si="179"/>
        <v>6409</v>
      </c>
      <c r="D6414" s="3" t="s">
        <v>63</v>
      </c>
      <c r="E6414" s="2" t="b">
        <f t="shared" ca="1" si="178"/>
        <v>1</v>
      </c>
      <c r="F6414" s="2" cm="1">
        <f t="array" aca="1" ref="F6414" ca="1">IF(G6414&lt;&gt;"",INDIRECT("'"&amp;G6414&amp;"'!"&amp;H6414),"")</f>
        <v>0</v>
      </c>
      <c r="G6414" s="1582" t="s">
        <v>6961</v>
      </c>
      <c r="H6414" s="2" t="s">
        <v>5985</v>
      </c>
    </row>
    <row r="6415" spans="1:8" x14ac:dyDescent="0.2">
      <c r="A6415">
        <v>6410</v>
      </c>
      <c r="B6415" s="7">
        <f>'EstExp 12-20'!K230</f>
        <v>0</v>
      </c>
      <c r="C6415" s="3">
        <f t="shared" si="179"/>
        <v>6410</v>
      </c>
      <c r="D6415" s="3" t="s">
        <v>63</v>
      </c>
      <c r="E6415" s="2" t="b">
        <f t="shared" ca="1" si="178"/>
        <v>1</v>
      </c>
      <c r="F6415" s="2" cm="1">
        <f t="array" aca="1" ref="F6415" ca="1">IF(G6415&lt;&gt;"",INDIRECT("'"&amp;G6415&amp;"'!"&amp;H6415),"")</f>
        <v>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0</v>
      </c>
      <c r="C6436" s="3">
        <f t="shared" si="179"/>
        <v>6431</v>
      </c>
      <c r="D6436" s="3" t="s">
        <v>744</v>
      </c>
      <c r="E6436" s="2" t="b">
        <f t="shared" ca="1" si="178"/>
        <v>1</v>
      </c>
      <c r="F6436" s="2" cm="1">
        <f t="array" aca="1" ref="F6436" ca="1">IF(G6436&lt;&gt;"",INDIRECT("'"&amp;G6436&amp;"'!"&amp;H6436),"")</f>
        <v>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15200</v>
      </c>
      <c r="C6521" s="3">
        <f t="shared" si="181"/>
        <v>-8684</v>
      </c>
      <c r="D6521" s="3" t="s">
        <v>63</v>
      </c>
      <c r="E6521" s="2" t="b">
        <f t="shared" ca="1" si="180"/>
        <v>1</v>
      </c>
      <c r="F6521" s="2" cm="1">
        <f t="array" aca="1" ref="F6521" ca="1">IF(G6521&lt;&gt;"",INDIRECT("'"&amp;G6521&amp;"'!"&amp;H6521),"")</f>
        <v>15200</v>
      </c>
      <c r="G6521" s="1582" t="s">
        <v>6961</v>
      </c>
      <c r="H6521" s="2" t="s">
        <v>6015</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15200</v>
      </c>
      <c r="C6527" s="3">
        <f t="shared" si="181"/>
        <v>-8678</v>
      </c>
      <c r="D6527" s="3" t="s">
        <v>63</v>
      </c>
      <c r="E6527" s="2" t="b">
        <f t="shared" ca="1" si="180"/>
        <v>1</v>
      </c>
      <c r="F6527" s="2" cm="1">
        <f t="array" aca="1" ref="F6527" ca="1">IF(G6527&lt;&gt;"",INDIRECT("'"&amp;G6527&amp;"'!"&amp;H6527),"")</f>
        <v>15200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6961</v>
      </c>
      <c r="H6564" s="2" t="s">
        <v>6021</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6961</v>
      </c>
      <c r="H6565" s="2" t="s">
        <v>6022</v>
      </c>
      <c r="S6565" s="8"/>
    </row>
    <row r="6566" spans="1:19" x14ac:dyDescent="0.2">
      <c r="A6566">
        <v>6561</v>
      </c>
      <c r="B6566" s="8">
        <f>'EstExp 12-20'!E365</f>
        <v>15200</v>
      </c>
      <c r="C6566" s="3">
        <f t="shared" si="183"/>
        <v>-8639</v>
      </c>
      <c r="D6566" s="3" t="s">
        <v>63</v>
      </c>
      <c r="E6566" s="2" t="b">
        <f t="shared" ca="1" si="182"/>
        <v>1</v>
      </c>
      <c r="F6566" s="2" cm="1">
        <f t="array" aca="1" ref="F6566" ca="1">IF(G6566&lt;&gt;"",INDIRECT("'"&amp;G6566&amp;"'!"&amp;H6566),"")</f>
        <v>15200</v>
      </c>
      <c r="G6566" s="1582" t="s">
        <v>6961</v>
      </c>
      <c r="H6566" s="2" t="s">
        <v>6023</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15200</v>
      </c>
      <c r="C6572" s="3">
        <f t="shared" si="183"/>
        <v>-8633</v>
      </c>
      <c r="D6572" s="3" t="s">
        <v>63</v>
      </c>
      <c r="E6572" s="2" t="b">
        <f t="shared" ca="1" si="182"/>
        <v>1</v>
      </c>
      <c r="F6572" s="2" cm="1">
        <f t="array" aca="1" ref="F6572" ca="1">IF(G6572&lt;&gt;"",INDIRECT("'"&amp;G6572&amp;"'!"&amp;H6572),"")</f>
        <v>15200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0</v>
      </c>
      <c r="C6577" s="3">
        <f t="shared" si="183"/>
        <v>6572</v>
      </c>
      <c r="D6577" s="3" t="s">
        <v>63</v>
      </c>
      <c r="E6577" s="2" t="b">
        <f t="shared" ca="1" si="182"/>
        <v>1</v>
      </c>
      <c r="F6577" s="2" cm="1">
        <f t="array" aca="1" ref="F6577" ca="1">IF(G6577&lt;&gt;"",INDIRECT("'"&amp;G6577&amp;"'!"&amp;H6577),"")</f>
        <v>0</v>
      </c>
      <c r="G6577" s="1582" t="s">
        <v>6961</v>
      </c>
      <c r="H6577" s="2" t="s">
        <v>6033</v>
      </c>
      <c r="S6577" s="8"/>
    </row>
    <row r="6578" spans="1:19" x14ac:dyDescent="0.2">
      <c r="A6578">
        <v>6573</v>
      </c>
      <c r="B6578" s="8">
        <f>'EstExp 12-20'!D428</f>
        <v>0</v>
      </c>
      <c r="C6578" s="3">
        <f t="shared" si="183"/>
        <v>6573</v>
      </c>
      <c r="D6578" s="3" t="s">
        <v>63</v>
      </c>
      <c r="E6578" s="2" t="b">
        <f t="shared" ca="1" si="182"/>
        <v>1</v>
      </c>
      <c r="F6578" s="2" cm="1">
        <f t="array" aca="1" ref="F6578" ca="1">IF(G6578&lt;&gt;"",INDIRECT("'"&amp;G6578&amp;"'!"&amp;H6578),"")</f>
        <v>0</v>
      </c>
      <c r="G6578" s="1582" t="s">
        <v>6961</v>
      </c>
      <c r="H6578" s="2" t="s">
        <v>6034</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15200</v>
      </c>
      <c r="C6613" s="3">
        <f t="shared" si="185"/>
        <v>-8592</v>
      </c>
      <c r="D6613" s="3" t="s">
        <v>162</v>
      </c>
      <c r="E6613" s="2" t="b">
        <f t="shared" ca="1" si="184"/>
        <v>1</v>
      </c>
      <c r="F6613" s="2" cm="1">
        <f t="array" aca="1" ref="F6613" ca="1">IF(G6613&lt;&gt;"",INDIRECT("'"&amp;G6613&amp;"'!"&amp;H6613),"")</f>
        <v>15200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15200</v>
      </c>
      <c r="C6615" s="3">
        <f t="shared" si="185"/>
        <v>-8590</v>
      </c>
      <c r="D6615" s="3" t="s">
        <v>162</v>
      </c>
      <c r="E6615" s="2" t="b">
        <f t="shared" ca="1" si="184"/>
        <v>1</v>
      </c>
      <c r="F6615" s="2" cm="1">
        <f t="array" aca="1" ref="F6615" ca="1">IF(G6615&lt;&gt;"",INDIRECT("'"&amp;G6615&amp;"'!"&amp;H6615),"")</f>
        <v>15200</v>
      </c>
      <c r="G6615" s="1582" t="s">
        <v>6961</v>
      </c>
      <c r="H6615" s="2" t="s">
        <v>6054</v>
      </c>
      <c r="S6615" s="8"/>
    </row>
    <row r="6616" spans="1:19" x14ac:dyDescent="0.2">
      <c r="A6616">
        <v>6611</v>
      </c>
      <c r="B6616" s="8">
        <f>'EstExp 12-20'!K429</f>
        <v>-14850</v>
      </c>
      <c r="C6616" s="3">
        <f t="shared" si="185"/>
        <v>21461</v>
      </c>
      <c r="D6616" s="3" t="s">
        <v>162</v>
      </c>
      <c r="E6616" s="2" t="b">
        <f t="shared" ca="1" si="184"/>
        <v>1</v>
      </c>
      <c r="F6616" s="2" cm="1">
        <f t="array" aca="1" ref="F6616" ca="1">IF(G6616&lt;&gt;"",INDIRECT("'"&amp;G6616&amp;"'!"&amp;H6616),"")</f>
        <v>-14850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82" t="s">
        <v>6961</v>
      </c>
      <c r="H6643" s="2" t="s">
        <v>6069</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0</v>
      </c>
      <c r="C7037" s="605">
        <f t="shared" si="197"/>
        <v>7032</v>
      </c>
      <c r="D7037" s="3" t="s">
        <v>774</v>
      </c>
      <c r="E7037" s="2" t="b">
        <f t="shared" ca="1" si="196"/>
        <v>1</v>
      </c>
      <c r="F7037" s="2" cm="1">
        <f t="array" aca="1" ref="F7037" ca="1">IF(G7037&lt;&gt;"",INDIRECT("'"&amp;G7037&amp;"'!"&amp;H7037),"")</f>
        <v>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52748</v>
      </c>
      <c r="C7039" s="605">
        <f t="shared" si="197"/>
        <v>-45714</v>
      </c>
      <c r="D7039" s="3" t="s">
        <v>774</v>
      </c>
      <c r="E7039" s="2" t="b">
        <f t="shared" ca="1" si="196"/>
        <v>1</v>
      </c>
      <c r="F7039" s="2" cm="1">
        <f t="array" aca="1" ref="F7039" ca="1">IF(G7039&lt;&gt;"",INDIRECT("'"&amp;G7039&amp;"'!"&amp;H7039),"")</f>
        <v>52748</v>
      </c>
      <c r="G7039" s="1582" t="s">
        <v>6959</v>
      </c>
      <c r="H7039" s="2" t="s">
        <v>5486</v>
      </c>
      <c r="S7039" s="8"/>
    </row>
    <row r="7040" spans="1:19" x14ac:dyDescent="0.2">
      <c r="A7040">
        <v>7035</v>
      </c>
      <c r="B7040" s="8">
        <f>'BudgetSum 2-4'!C85</f>
        <v>0</v>
      </c>
      <c r="C7040" s="605">
        <f t="shared" si="197"/>
        <v>7035</v>
      </c>
      <c r="D7040" s="3" t="s">
        <v>774</v>
      </c>
      <c r="E7040" s="2" t="b">
        <f t="shared" ca="1" si="196"/>
        <v>1</v>
      </c>
      <c r="F7040" s="2" cm="1">
        <f t="array" aca="1" ref="F7040" ca="1">IF(G7040&lt;&gt;"",INDIRECT("'"&amp;G7040&amp;"'!"&amp;H7040),"")</f>
        <v>0</v>
      </c>
      <c r="G7040" s="1582" t="s">
        <v>6959</v>
      </c>
      <c r="H7040" s="2" t="s">
        <v>6316</v>
      </c>
      <c r="S7040" s="8"/>
    </row>
    <row r="7041" spans="1:19" x14ac:dyDescent="0.2">
      <c r="A7041">
        <v>7036</v>
      </c>
      <c r="B7041" s="8">
        <f>'BudgetSum 2-4'!C87</f>
        <v>0</v>
      </c>
      <c r="C7041" s="605">
        <f t="shared" si="197"/>
        <v>7036</v>
      </c>
      <c r="D7041" s="3" t="s">
        <v>774</v>
      </c>
      <c r="E7041" s="2" t="b">
        <f t="shared" ca="1" si="196"/>
        <v>1</v>
      </c>
      <c r="F7041" s="2" cm="1">
        <f t="array" aca="1" ref="F7041" ca="1">IF(G7041&lt;&gt;"",INDIRECT("'"&amp;G7041&amp;"'!"&amp;H7041),"")</f>
        <v>0</v>
      </c>
      <c r="G7041" s="1582" t="s">
        <v>6959</v>
      </c>
      <c r="H7041" s="2" t="s">
        <v>5488</v>
      </c>
      <c r="S7041" s="8"/>
    </row>
    <row r="7042" spans="1:19" x14ac:dyDescent="0.2">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6959</v>
      </c>
      <c r="H7042" s="2" t="s">
        <v>5489</v>
      </c>
      <c r="S7042" s="8"/>
    </row>
    <row r="7043" spans="1:19" x14ac:dyDescent="0.2">
      <c r="A7043">
        <v>7038</v>
      </c>
      <c r="B7043" s="8">
        <f>'BudgetSum 2-4'!C89</f>
        <v>52748</v>
      </c>
      <c r="C7043" s="605">
        <f t="shared" si="197"/>
        <v>-45710</v>
      </c>
      <c r="D7043" s="3" t="s">
        <v>774</v>
      </c>
      <c r="E7043" s="2" t="b">
        <f t="shared" ca="1" si="198"/>
        <v>1</v>
      </c>
      <c r="F7043" s="2" cm="1">
        <f t="array" aca="1" ref="F7043" ca="1">IF(G7043&lt;&gt;"",INDIRECT("'"&amp;G7043&amp;"'!"&amp;H7043),"")</f>
        <v>52748</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5034938</v>
      </c>
      <c r="C7045" s="605">
        <f t="shared" si="199"/>
        <v>-5027898</v>
      </c>
      <c r="D7045" s="3" t="s">
        <v>774</v>
      </c>
      <c r="E7045" s="2" t="b">
        <f t="shared" ca="1" si="198"/>
        <v>1</v>
      </c>
      <c r="F7045" s="2" cm="1">
        <f t="array" aca="1" ref="F7045" ca="1">IF(G7045&lt;&gt;"",INDIRECT("'"&amp;G7045&amp;"'!"&amp;H7045),"")</f>
        <v>5034938</v>
      </c>
      <c r="G7045" s="1582" t="s">
        <v>6959</v>
      </c>
      <c r="H7045" s="2" t="s">
        <v>5492</v>
      </c>
      <c r="S7045" s="8"/>
    </row>
    <row r="7046" spans="1:19" x14ac:dyDescent="0.2">
      <c r="A7046">
        <v>7041</v>
      </c>
      <c r="B7046" s="8">
        <f>'BudgetSum 2-4'!C93</f>
        <v>5337244</v>
      </c>
      <c r="C7046" s="605">
        <f t="shared" si="199"/>
        <v>-5330203</v>
      </c>
      <c r="D7046" s="3" t="s">
        <v>774</v>
      </c>
      <c r="E7046" s="2" t="b">
        <f t="shared" ca="1" si="198"/>
        <v>1</v>
      </c>
      <c r="F7046" s="2" cm="1">
        <f t="array" aca="1" ref="F7046" ca="1">IF(G7046&lt;&gt;"",INDIRECT("'"&amp;G7046&amp;"'!"&amp;H7046),"")</f>
        <v>5337244</v>
      </c>
      <c r="G7046" s="1582" t="s">
        <v>6959</v>
      </c>
      <c r="H7046" s="2" t="s">
        <v>5494</v>
      </c>
      <c r="S7046" s="8"/>
    </row>
    <row r="7047" spans="1:19" x14ac:dyDescent="0.2">
      <c r="A7047">
        <v>7042</v>
      </c>
      <c r="B7047" s="8">
        <f>'BudgetSum 2-4'!C94</f>
        <v>100</v>
      </c>
      <c r="C7047" s="605">
        <f t="shared" si="199"/>
        <v>6942</v>
      </c>
      <c r="D7047" s="3" t="s">
        <v>774</v>
      </c>
      <c r="E7047" s="2" t="b">
        <f t="shared" ca="1" si="198"/>
        <v>1</v>
      </c>
      <c r="F7047" s="2" cm="1">
        <f t="array" aca="1" ref="F7047" ca="1">IF(G7047&lt;&gt;"",INDIRECT("'"&amp;G7047&amp;"'!"&amp;H7047),"")</f>
        <v>100</v>
      </c>
      <c r="G7047" s="1582" t="s">
        <v>6959</v>
      </c>
      <c r="H7047" s="2" t="s">
        <v>5495</v>
      </c>
      <c r="S7047" s="8"/>
    </row>
    <row r="7048" spans="1:19" x14ac:dyDescent="0.2">
      <c r="A7048">
        <v>7043</v>
      </c>
      <c r="B7048" s="8">
        <f>'BudgetSum 2-4'!C95</f>
        <v>3277711</v>
      </c>
      <c r="C7048" s="605">
        <f t="shared" si="199"/>
        <v>-3270668</v>
      </c>
      <c r="D7048" s="3" t="s">
        <v>774</v>
      </c>
      <c r="E7048" s="2" t="b">
        <f t="shared" ca="1" si="198"/>
        <v>1</v>
      </c>
      <c r="F7048" s="2" cm="1">
        <f t="array" aca="1" ref="F7048" ca="1">IF(G7048&lt;&gt;"",INDIRECT("'"&amp;G7048&amp;"'!"&amp;H7048),"")</f>
        <v>3277711</v>
      </c>
      <c r="G7048" s="1582" t="s">
        <v>6959</v>
      </c>
      <c r="H7048" s="2" t="s">
        <v>5496</v>
      </c>
      <c r="S7048" s="8"/>
    </row>
    <row r="7049" spans="1:19" x14ac:dyDescent="0.2">
      <c r="A7049">
        <v>7044</v>
      </c>
      <c r="B7049" s="8">
        <f>'BudgetSum 2-4'!C96</f>
        <v>1156425</v>
      </c>
      <c r="C7049" s="605">
        <f t="shared" si="199"/>
        <v>-1149381</v>
      </c>
      <c r="D7049" s="3" t="s">
        <v>774</v>
      </c>
      <c r="E7049" s="2" t="b">
        <f t="shared" ca="1" si="198"/>
        <v>1</v>
      </c>
      <c r="F7049" s="2" cm="1">
        <f t="array" aca="1" ref="F7049" ca="1">IF(G7049&lt;&gt;"",INDIRECT("'"&amp;G7049&amp;"'!"&amp;H7049),"")</f>
        <v>1156425</v>
      </c>
      <c r="G7049" s="1582" t="s">
        <v>6959</v>
      </c>
      <c r="H7049" s="2" t="s">
        <v>6317</v>
      </c>
      <c r="S7049" s="8"/>
    </row>
    <row r="7050" spans="1:19" x14ac:dyDescent="0.2">
      <c r="A7050">
        <v>7045</v>
      </c>
      <c r="B7050" s="8">
        <f>'BudgetSum 2-4'!C97</f>
        <v>9771480</v>
      </c>
      <c r="C7050" s="605">
        <f t="shared" si="199"/>
        <v>-9764435</v>
      </c>
      <c r="D7050" s="3" t="s">
        <v>774</v>
      </c>
      <c r="E7050" s="2" t="b">
        <f t="shared" ca="1" si="198"/>
        <v>1</v>
      </c>
      <c r="F7050" s="2" cm="1">
        <f t="array" aca="1" ref="F7050" ca="1">IF(G7050&lt;&gt;"",INDIRECT("'"&amp;G7050&amp;"'!"&amp;H7050),"")</f>
        <v>9771480</v>
      </c>
      <c r="G7050" s="1582" t="s">
        <v>6959</v>
      </c>
      <c r="H7050" s="2" t="s">
        <v>5497</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x14ac:dyDescent="0.2">
      <c r="A7052">
        <v>7047</v>
      </c>
      <c r="B7052" s="8">
        <f>'BudgetSum 2-4'!C99</f>
        <v>9771480</v>
      </c>
      <c r="C7052" s="605">
        <f t="shared" si="199"/>
        <v>-9764433</v>
      </c>
      <c r="D7052" s="3" t="s">
        <v>774</v>
      </c>
      <c r="E7052" s="2" t="b">
        <f t="shared" ca="1" si="198"/>
        <v>1</v>
      </c>
      <c r="F7052" s="2" cm="1">
        <f t="array" aca="1" ref="F7052" ca="1">IF(G7052&lt;&gt;"",INDIRECT("'"&amp;G7052&amp;"'!"&amp;H7052),"")</f>
        <v>9771480</v>
      </c>
      <c r="G7052" s="1582" t="s">
        <v>6959</v>
      </c>
      <c r="H7052" s="2" t="s">
        <v>5765</v>
      </c>
      <c r="S7052" s="8"/>
    </row>
    <row r="7053" spans="1:19" x14ac:dyDescent="0.2">
      <c r="A7053">
        <v>7048</v>
      </c>
      <c r="B7053" s="8">
        <f>'BudgetSum 2-4'!C101</f>
        <v>5931973</v>
      </c>
      <c r="C7053" s="605">
        <f t="shared" si="199"/>
        <v>-5924925</v>
      </c>
      <c r="D7053" s="3" t="s">
        <v>774</v>
      </c>
      <c r="E7053" s="2" t="b">
        <f t="shared" ca="1" si="198"/>
        <v>1</v>
      </c>
      <c r="F7053" s="2" cm="1">
        <f t="array" aca="1" ref="F7053" ca="1">IF(G7053&lt;&gt;"",INDIRECT("'"&amp;G7053&amp;"'!"&amp;H7053),"")</f>
        <v>5931973</v>
      </c>
      <c r="G7053" s="1582" t="s">
        <v>6959</v>
      </c>
      <c r="H7053" s="2" t="s">
        <v>5500</v>
      </c>
      <c r="S7053" s="8"/>
    </row>
    <row r="7054" spans="1:19" x14ac:dyDescent="0.2">
      <c r="A7054">
        <v>7049</v>
      </c>
      <c r="B7054" s="8">
        <f>'BudgetSum 2-4'!C102</f>
        <v>3423605</v>
      </c>
      <c r="C7054" s="605">
        <f t="shared" si="199"/>
        <v>-3416556</v>
      </c>
      <c r="D7054" s="3" t="s">
        <v>774</v>
      </c>
      <c r="E7054" s="2" t="b">
        <f t="shared" ca="1" si="198"/>
        <v>1</v>
      </c>
      <c r="F7054" s="2" cm="1">
        <f t="array" aca="1" ref="F7054" ca="1">IF(G7054&lt;&gt;"",INDIRECT("'"&amp;G7054&amp;"'!"&amp;H7054),"")</f>
        <v>3423605</v>
      </c>
      <c r="G7054" s="1582" t="s">
        <v>6959</v>
      </c>
      <c r="H7054" s="2" t="s">
        <v>5775</v>
      </c>
      <c r="S7054" s="8"/>
    </row>
    <row r="7055" spans="1:19" x14ac:dyDescent="0.2">
      <c r="A7055">
        <v>7050</v>
      </c>
      <c r="B7055" s="8">
        <f>'BudgetSum 2-4'!C103</f>
        <v>8797</v>
      </c>
      <c r="C7055" s="605">
        <f t="shared" si="199"/>
        <v>-1747</v>
      </c>
      <c r="D7055" s="3" t="s">
        <v>774</v>
      </c>
      <c r="E7055" s="2" t="b">
        <f t="shared" ca="1" si="198"/>
        <v>1</v>
      </c>
      <c r="F7055" s="2" cm="1">
        <f t="array" aca="1" ref="F7055" ca="1">IF(G7055&lt;&gt;"",INDIRECT("'"&amp;G7055&amp;"'!"&amp;H7055),"")</f>
        <v>8797</v>
      </c>
      <c r="G7055" s="1582" t="s">
        <v>6959</v>
      </c>
      <c r="H7055" s="2" t="s">
        <v>5783</v>
      </c>
      <c r="S7055" s="8"/>
    </row>
    <row r="7056" spans="1:19" x14ac:dyDescent="0.2">
      <c r="A7056">
        <v>7051</v>
      </c>
      <c r="B7056" s="8">
        <f>'BudgetSum 2-4'!C104</f>
        <v>293000</v>
      </c>
      <c r="C7056" s="605">
        <f t="shared" si="199"/>
        <v>-285949</v>
      </c>
      <c r="D7056" s="3" t="s">
        <v>774</v>
      </c>
      <c r="E7056" s="2" t="b">
        <f t="shared" ca="1" si="198"/>
        <v>1</v>
      </c>
      <c r="F7056" s="2" cm="1">
        <f t="array" aca="1" ref="F7056" ca="1">IF(G7056&lt;&gt;"",INDIRECT("'"&amp;G7056&amp;"'!"&amp;H7056),"")</f>
        <v>293000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9657375</v>
      </c>
      <c r="C7059" s="605">
        <f t="shared" si="199"/>
        <v>-9650321</v>
      </c>
      <c r="D7059" s="3" t="s">
        <v>774</v>
      </c>
      <c r="E7059" s="2" t="b">
        <f t="shared" ca="1" si="198"/>
        <v>1</v>
      </c>
      <c r="F7059" s="2" cm="1">
        <f t="array" aca="1" ref="F7059" ca="1">IF(G7059&lt;&gt;"",INDIRECT("'"&amp;G7059&amp;"'!"&amp;H7059),"")</f>
        <v>9657375</v>
      </c>
      <c r="G7059" s="1582" t="s">
        <v>6959</v>
      </c>
      <c r="H7059" s="2" t="s">
        <v>5501</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x14ac:dyDescent="0.2">
      <c r="A7061">
        <v>7056</v>
      </c>
      <c r="B7061" s="8">
        <f>'BudgetSum 2-4'!C109</f>
        <v>9657375</v>
      </c>
      <c r="C7061" s="605">
        <f t="shared" si="199"/>
        <v>-9650319</v>
      </c>
      <c r="D7061" s="3" t="s">
        <v>774</v>
      </c>
      <c r="E7061" s="2" t="b">
        <f t="shared" ca="1" si="198"/>
        <v>1</v>
      </c>
      <c r="F7061" s="2" cm="1">
        <f t="array" aca="1" ref="F7061" ca="1">IF(G7061&lt;&gt;"",INDIRECT("'"&amp;G7061&amp;"'!"&amp;H7061),"")</f>
        <v>9657375</v>
      </c>
      <c r="G7061" s="1582" t="s">
        <v>6959</v>
      </c>
      <c r="H7061" s="2" t="s">
        <v>5503</v>
      </c>
      <c r="S7061" s="8"/>
    </row>
    <row r="7062" spans="1:19" x14ac:dyDescent="0.2">
      <c r="A7062">
        <v>7057</v>
      </c>
      <c r="B7062" s="8">
        <f>'BudgetSum 2-4'!C110</f>
        <v>114105</v>
      </c>
      <c r="C7062" s="605">
        <f t="shared" si="199"/>
        <v>-107048</v>
      </c>
      <c r="D7062" s="3" t="s">
        <v>774</v>
      </c>
      <c r="E7062" s="2" t="b">
        <f t="shared" ca="1" si="198"/>
        <v>1</v>
      </c>
      <c r="F7062" s="2" cm="1">
        <f t="array" aca="1" ref="F7062" ca="1">IF(G7062&lt;&gt;"",INDIRECT("'"&amp;G7062&amp;"'!"&amp;H7062),"")</f>
        <v>114105</v>
      </c>
      <c r="G7062" s="1582" t="s">
        <v>6959</v>
      </c>
      <c r="H7062" s="2" t="s">
        <v>5504</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x14ac:dyDescent="0.2">
      <c r="A7066">
        <v>7061</v>
      </c>
      <c r="B7066" s="8">
        <f>'BudgetSum 2-4'!C118</f>
        <v>5149043</v>
      </c>
      <c r="C7066" s="605">
        <f t="shared" si="199"/>
        <v>-5141982</v>
      </c>
      <c r="D7066" s="3" t="s">
        <v>774</v>
      </c>
      <c r="E7066" s="2" t="b">
        <f t="shared" ca="1" si="198"/>
        <v>1</v>
      </c>
      <c r="F7066" s="2" cm="1">
        <f t="array" aca="1" ref="F7066" ca="1">IF(G7066&lt;&gt;"",INDIRECT("'"&amp;G7066&amp;"'!"&amp;H7066),"")</f>
        <v>5149043</v>
      </c>
      <c r="G7066" s="1582" t="s">
        <v>6959</v>
      </c>
      <c r="H7066" s="2" t="s">
        <v>6320</v>
      </c>
      <c r="S7066" s="8"/>
    </row>
    <row r="7067" spans="1:19" x14ac:dyDescent="0.2">
      <c r="A7067">
        <v>7062</v>
      </c>
      <c r="B7067" s="8">
        <f>'BudgetSum 2-4'!D91</f>
        <v>514068</v>
      </c>
      <c r="C7067" s="605">
        <f t="shared" si="199"/>
        <v>-507006</v>
      </c>
      <c r="D7067" s="3" t="s">
        <v>774</v>
      </c>
      <c r="E7067" s="2" t="b">
        <f t="shared" ca="1" si="198"/>
        <v>1</v>
      </c>
      <c r="F7067" s="2" cm="1">
        <f t="array" aca="1" ref="F7067" ca="1">IF(G7067&lt;&gt;"",INDIRECT("'"&amp;G7067&amp;"'!"&amp;H7067),"")</f>
        <v>514068</v>
      </c>
      <c r="G7067" s="1582" t="s">
        <v>6959</v>
      </c>
      <c r="H7067" s="2" t="s">
        <v>6321</v>
      </c>
      <c r="S7067" s="8"/>
    </row>
    <row r="7068" spans="1:19" x14ac:dyDescent="0.2">
      <c r="A7068">
        <v>7063</v>
      </c>
      <c r="B7068" s="8">
        <f>'BudgetSum 2-4'!D93</f>
        <v>880823</v>
      </c>
      <c r="C7068" s="605">
        <f t="shared" si="199"/>
        <v>-873760</v>
      </c>
      <c r="D7068" s="3" t="s">
        <v>774</v>
      </c>
      <c r="E7068" s="2" t="b">
        <f t="shared" ca="1" si="198"/>
        <v>1</v>
      </c>
      <c r="F7068" s="2" cm="1">
        <f t="array" aca="1" ref="F7068" ca="1">IF(G7068&lt;&gt;"",INDIRECT("'"&amp;G7068&amp;"'!"&amp;H7068),"")</f>
        <v>880823</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341768</v>
      </c>
      <c r="C7070" s="605">
        <f t="shared" si="199"/>
        <v>-334703</v>
      </c>
      <c r="D7070" s="3" t="s">
        <v>774</v>
      </c>
      <c r="E7070" s="2" t="b">
        <f t="shared" ca="1" si="198"/>
        <v>1</v>
      </c>
      <c r="F7070" s="2" cm="1">
        <f t="array" aca="1" ref="F7070" ca="1">IF(G7070&lt;&gt;"",INDIRECT("'"&amp;G7070&amp;"'!"&amp;H7070),"")</f>
        <v>341768</v>
      </c>
      <c r="G7070" s="1582" t="s">
        <v>6959</v>
      </c>
      <c r="H7070" s="2" t="s">
        <v>6324</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x14ac:dyDescent="0.2">
      <c r="A7072">
        <v>7067</v>
      </c>
      <c r="B7072" s="8">
        <f>'BudgetSum 2-4'!D97</f>
        <v>1222591</v>
      </c>
      <c r="C7072" s="605">
        <f t="shared" si="199"/>
        <v>-1215524</v>
      </c>
      <c r="D7072" s="3" t="s">
        <v>774</v>
      </c>
      <c r="E7072" s="2" t="b">
        <f t="shared" ca="1" si="198"/>
        <v>1</v>
      </c>
      <c r="F7072" s="2" cm="1">
        <f t="array" aca="1" ref="F7072" ca="1">IF(G7072&lt;&gt;"",INDIRECT("'"&amp;G7072&amp;"'!"&amp;H7072),"")</f>
        <v>1222591</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1222591</v>
      </c>
      <c r="C7074" s="605">
        <f t="shared" si="199"/>
        <v>-1215522</v>
      </c>
      <c r="D7074" s="3" t="s">
        <v>774</v>
      </c>
      <c r="E7074" s="2" t="b">
        <f t="shared" ca="1" si="198"/>
        <v>1</v>
      </c>
      <c r="F7074" s="2" cm="1">
        <f t="array" aca="1" ref="F7074" ca="1">IF(G7074&lt;&gt;"",INDIRECT("'"&amp;G7074&amp;"'!"&amp;H7074),"")</f>
        <v>1222591</v>
      </c>
      <c r="G7074" s="1582" t="s">
        <v>6959</v>
      </c>
      <c r="H7074" s="2" t="s">
        <v>5766</v>
      </c>
      <c r="S7074" s="8"/>
    </row>
    <row r="7075" spans="1:19" x14ac:dyDescent="0.2">
      <c r="A7075">
        <v>7070</v>
      </c>
      <c r="B7075" s="8">
        <f>'BudgetSum 2-4'!D102</f>
        <v>1186722</v>
      </c>
      <c r="C7075" s="605">
        <f t="shared" si="199"/>
        <v>-1179652</v>
      </c>
      <c r="D7075" s="3" t="s">
        <v>774</v>
      </c>
      <c r="E7075" s="2" t="b">
        <f t="shared" ca="1" si="198"/>
        <v>1</v>
      </c>
      <c r="F7075" s="2" cm="1">
        <f t="array" aca="1" ref="F7075" ca="1">IF(G7075&lt;&gt;"",INDIRECT("'"&amp;G7075&amp;"'!"&amp;H7075),"")</f>
        <v>1186722</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1186722</v>
      </c>
      <c r="C7080" s="605">
        <f t="shared" si="199"/>
        <v>-1179647</v>
      </c>
      <c r="D7080" s="3" t="s">
        <v>774</v>
      </c>
      <c r="E7080" s="2" t="b">
        <f t="shared" ca="1" si="198"/>
        <v>1</v>
      </c>
      <c r="F7080" s="2" cm="1">
        <f t="array" aca="1" ref="F7080" ca="1">IF(G7080&lt;&gt;"",INDIRECT("'"&amp;G7080&amp;"'!"&amp;H7080),"")</f>
        <v>1186722</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1186722</v>
      </c>
      <c r="C7082" s="605">
        <f t="shared" si="199"/>
        <v>-1179645</v>
      </c>
      <c r="D7082" s="3" t="s">
        <v>774</v>
      </c>
      <c r="E7082" s="2" t="b">
        <f t="shared" ca="1" si="198"/>
        <v>1</v>
      </c>
      <c r="F7082" s="2" cm="1">
        <f t="array" aca="1" ref="F7082" ca="1">IF(G7082&lt;&gt;"",INDIRECT("'"&amp;G7082&amp;"'!"&amp;H7082),"")</f>
        <v>1186722</v>
      </c>
      <c r="G7082" s="1582" t="s">
        <v>6959</v>
      </c>
      <c r="H7082" s="2" t="s">
        <v>5566</v>
      </c>
      <c r="S7082" s="8"/>
    </row>
    <row r="7083" spans="1:19" x14ac:dyDescent="0.2">
      <c r="A7083">
        <v>7078</v>
      </c>
      <c r="B7083" s="8">
        <f>'BudgetSum 2-4'!D110</f>
        <v>35869</v>
      </c>
      <c r="C7083" s="605">
        <f t="shared" si="199"/>
        <v>-28791</v>
      </c>
      <c r="D7083" s="3" t="s">
        <v>774</v>
      </c>
      <c r="E7083" s="2" t="b">
        <f t="shared" ca="1" si="198"/>
        <v>1</v>
      </c>
      <c r="F7083" s="2" cm="1">
        <f t="array" aca="1" ref="F7083" ca="1">IF(G7083&lt;&gt;"",INDIRECT("'"&amp;G7083&amp;"'!"&amp;H7083),"")</f>
        <v>35869</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549937</v>
      </c>
      <c r="C7087" s="605">
        <f t="shared" si="199"/>
        <v>-542855</v>
      </c>
      <c r="D7087" s="3" t="s">
        <v>774</v>
      </c>
      <c r="E7087" s="2" t="b">
        <f t="shared" ca="1" si="198"/>
        <v>1</v>
      </c>
      <c r="F7087" s="2" cm="1">
        <f t="array" aca="1" ref="F7087" ca="1">IF(G7087&lt;&gt;"",INDIRECT("'"&amp;G7087&amp;"'!"&amp;H7087),"")</f>
        <v>549937</v>
      </c>
      <c r="G7087" s="1582" t="s">
        <v>6959</v>
      </c>
      <c r="H7087" s="2" t="s">
        <v>6330</v>
      </c>
      <c r="S7087" s="8"/>
    </row>
    <row r="7088" spans="1:19" x14ac:dyDescent="0.2">
      <c r="A7088">
        <v>7083</v>
      </c>
      <c r="B7088" s="8">
        <f>'BudgetSum 2-4'!E91</f>
        <v>231837</v>
      </c>
      <c r="C7088" s="605">
        <f t="shared" si="199"/>
        <v>-224754</v>
      </c>
      <c r="D7088" s="3" t="s">
        <v>774</v>
      </c>
      <c r="E7088" s="2" t="b">
        <f t="shared" ca="1" si="198"/>
        <v>1</v>
      </c>
      <c r="F7088" s="2" cm="1">
        <f t="array" aca="1" ref="F7088" ca="1">IF(G7088&lt;&gt;"",INDIRECT("'"&amp;G7088&amp;"'!"&amp;H7088),"")</f>
        <v>231837</v>
      </c>
      <c r="G7088" s="1582" t="s">
        <v>6959</v>
      </c>
      <c r="H7088" s="2" t="s">
        <v>6331</v>
      </c>
      <c r="S7088" s="8"/>
    </row>
    <row r="7089" spans="1:19" x14ac:dyDescent="0.2">
      <c r="A7089">
        <v>7084</v>
      </c>
      <c r="B7089" s="8">
        <f>'BudgetSum 2-4'!E93</f>
        <v>453066</v>
      </c>
      <c r="C7089" s="605">
        <f t="shared" si="199"/>
        <v>-445982</v>
      </c>
      <c r="D7089" s="3" t="s">
        <v>774</v>
      </c>
      <c r="E7089" s="2" t="b">
        <f t="shared" ca="1" si="198"/>
        <v>1</v>
      </c>
      <c r="F7089" s="2" cm="1">
        <f t="array" aca="1" ref="F7089" ca="1">IF(G7089&lt;&gt;"",INDIRECT("'"&amp;G7089&amp;"'!"&amp;H7089),"")</f>
        <v>453066</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453066</v>
      </c>
      <c r="C7092" s="605">
        <f t="shared" si="199"/>
        <v>-445979</v>
      </c>
      <c r="D7092" s="3" t="s">
        <v>774</v>
      </c>
      <c r="E7092" s="2" t="b">
        <f t="shared" ca="1" si="198"/>
        <v>1</v>
      </c>
      <c r="F7092" s="2" cm="1">
        <f t="array" aca="1" ref="F7092" ca="1">IF(G7092&lt;&gt;"",INDIRECT("'"&amp;G7092&amp;"'!"&amp;H7092),"")</f>
        <v>453066</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453066</v>
      </c>
      <c r="C7094" s="605">
        <f t="shared" si="199"/>
        <v>-445977</v>
      </c>
      <c r="D7094" s="3" t="s">
        <v>774</v>
      </c>
      <c r="E7094" s="2" t="b">
        <f t="shared" ca="1" si="198"/>
        <v>1</v>
      </c>
      <c r="F7094" s="2" cm="1">
        <f t="array" aca="1" ref="F7094" ca="1">IF(G7094&lt;&gt;"",INDIRECT("'"&amp;G7094&amp;"'!"&amp;H7094),"")</f>
        <v>453066</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428960</v>
      </c>
      <c r="C7096" s="605">
        <f t="shared" si="199"/>
        <v>-421869</v>
      </c>
      <c r="D7096" s="3" t="s">
        <v>774</v>
      </c>
      <c r="E7096" s="2" t="b">
        <f t="shared" ca="1" si="198"/>
        <v>1</v>
      </c>
      <c r="F7096" s="2" cm="1">
        <f t="array" aca="1" ref="F7096" ca="1">IF(G7096&lt;&gt;"",INDIRECT("'"&amp;G7096&amp;"'!"&amp;H7096),"")</f>
        <v>428960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428960</v>
      </c>
      <c r="C7098" s="605">
        <f t="shared" si="199"/>
        <v>-421867</v>
      </c>
      <c r="D7098" s="3" t="s">
        <v>774</v>
      </c>
      <c r="E7098" s="2" t="b">
        <f t="shared" ca="1" si="198"/>
        <v>1</v>
      </c>
      <c r="F7098" s="2" cm="1">
        <f t="array" aca="1" ref="F7098" ca="1">IF(G7098&lt;&gt;"",INDIRECT("'"&amp;G7098&amp;"'!"&amp;H7098),"")</f>
        <v>428960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428960</v>
      </c>
      <c r="C7100" s="605">
        <f t="shared" si="199"/>
        <v>-421865</v>
      </c>
      <c r="D7100" s="3" t="s">
        <v>774</v>
      </c>
      <c r="E7100" s="2" t="b">
        <f t="shared" ca="1" si="198"/>
        <v>1</v>
      </c>
      <c r="F7100" s="2" cm="1">
        <f t="array" aca="1" ref="F7100" ca="1">IF(G7100&lt;&gt;"",INDIRECT("'"&amp;G7100&amp;"'!"&amp;H7100),"")</f>
        <v>428960</v>
      </c>
      <c r="G7100" s="1582" t="s">
        <v>6959</v>
      </c>
      <c r="H7100" s="2" t="s">
        <v>5605</v>
      </c>
      <c r="S7100" s="8"/>
    </row>
    <row r="7101" spans="1:19" x14ac:dyDescent="0.2">
      <c r="A7101">
        <v>7096</v>
      </c>
      <c r="B7101" s="8">
        <f>'BudgetSum 2-4'!E110</f>
        <v>24106</v>
      </c>
      <c r="C7101" s="605">
        <f t="shared" si="199"/>
        <v>-17010</v>
      </c>
      <c r="D7101" s="3" t="s">
        <v>774</v>
      </c>
      <c r="E7101" s="2" t="b">
        <f t="shared" ca="1" si="198"/>
        <v>1</v>
      </c>
      <c r="F7101" s="2" cm="1">
        <f t="array" aca="1" ref="F7101" ca="1">IF(G7101&lt;&gt;"",INDIRECT("'"&amp;G7101&amp;"'!"&amp;H7101),"")</f>
        <v>24106</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6959</v>
      </c>
      <c r="H7103" s="2" t="s">
        <v>4644</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6959</v>
      </c>
      <c r="H7104" s="2" t="s">
        <v>6338</v>
      </c>
      <c r="S7104" s="8"/>
    </row>
    <row r="7105" spans="1:19" x14ac:dyDescent="0.2">
      <c r="A7105">
        <v>7100</v>
      </c>
      <c r="B7105" s="8">
        <f>'BudgetSum 2-4'!E118</f>
        <v>255943</v>
      </c>
      <c r="C7105" s="605">
        <f t="shared" si="199"/>
        <v>-248843</v>
      </c>
      <c r="D7105" s="3" t="s">
        <v>774</v>
      </c>
      <c r="E7105" s="2" t="b">
        <f t="shared" ca="1" si="198"/>
        <v>1</v>
      </c>
      <c r="F7105" s="2" cm="1">
        <f t="array" aca="1" ref="F7105" ca="1">IF(G7105&lt;&gt;"",INDIRECT("'"&amp;G7105&amp;"'!"&amp;H7105),"")</f>
        <v>255943</v>
      </c>
      <c r="G7105" s="1582" t="s">
        <v>6959</v>
      </c>
      <c r="H7105" s="2" t="s">
        <v>6339</v>
      </c>
      <c r="S7105" s="8"/>
    </row>
    <row r="7106" spans="1:19" x14ac:dyDescent="0.2">
      <c r="A7106">
        <v>7101</v>
      </c>
      <c r="B7106" s="8">
        <f>'BudgetSum 2-4'!F91</f>
        <v>351894</v>
      </c>
      <c r="C7106" s="605">
        <f t="shared" si="199"/>
        <v>-344793</v>
      </c>
      <c r="D7106" s="3" t="s">
        <v>774</v>
      </c>
      <c r="E7106" s="2" t="b">
        <f t="shared" ref="E7106:E7169" ca="1" si="200">F7106=B7106</f>
        <v>1</v>
      </c>
      <c r="F7106" s="2" cm="1">
        <f t="array" aca="1" ref="F7106" ca="1">IF(G7106&lt;&gt;"",INDIRECT("'"&amp;G7106&amp;"'!"&amp;H7106),"")</f>
        <v>351894</v>
      </c>
      <c r="G7106" s="1582" t="s">
        <v>6959</v>
      </c>
      <c r="H7106" s="2" t="s">
        <v>6340</v>
      </c>
      <c r="S7106" s="8"/>
    </row>
    <row r="7107" spans="1:19" x14ac:dyDescent="0.2">
      <c r="A7107">
        <v>7102</v>
      </c>
      <c r="B7107" s="8">
        <f>'BudgetSum 2-4'!F93</f>
        <v>217298</v>
      </c>
      <c r="C7107" s="605">
        <f t="shared" si="199"/>
        <v>-210196</v>
      </c>
      <c r="D7107" s="3" t="s">
        <v>774</v>
      </c>
      <c r="E7107" s="2" t="b">
        <f t="shared" ca="1" si="200"/>
        <v>1</v>
      </c>
      <c r="F7107" s="2" cm="1">
        <f t="array" aca="1" ref="F7107" ca="1">IF(G7107&lt;&gt;"",INDIRECT("'"&amp;G7107&amp;"'!"&amp;H7107),"")</f>
        <v>217298</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540476</v>
      </c>
      <c r="C7109" s="605">
        <f t="shared" si="201"/>
        <v>-533372</v>
      </c>
      <c r="D7109" s="3" t="s">
        <v>774</v>
      </c>
      <c r="E7109" s="2" t="b">
        <f t="shared" ca="1" si="200"/>
        <v>1</v>
      </c>
      <c r="F7109" s="2" cm="1">
        <f t="array" aca="1" ref="F7109" ca="1">IF(G7109&lt;&gt;"",INDIRECT("'"&amp;G7109&amp;"'!"&amp;H7109),"")</f>
        <v>540476</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757774</v>
      </c>
      <c r="C7111" s="605">
        <f t="shared" si="201"/>
        <v>-750668</v>
      </c>
      <c r="D7111" s="3" t="s">
        <v>774</v>
      </c>
      <c r="E7111" s="2" t="b">
        <f t="shared" ca="1" si="200"/>
        <v>1</v>
      </c>
      <c r="F7111" s="2" cm="1">
        <f t="array" aca="1" ref="F7111" ca="1">IF(G7111&lt;&gt;"",INDIRECT("'"&amp;G7111&amp;"'!"&amp;H7111),"")</f>
        <v>757774</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757774</v>
      </c>
      <c r="C7113" s="605">
        <f t="shared" si="201"/>
        <v>-750666</v>
      </c>
      <c r="D7113" s="3" t="s">
        <v>774</v>
      </c>
      <c r="E7113" s="2" t="b">
        <f t="shared" ca="1" si="200"/>
        <v>1</v>
      </c>
      <c r="F7113" s="2" cm="1">
        <f t="array" aca="1" ref="F7113" ca="1">IF(G7113&lt;&gt;"",INDIRECT("'"&amp;G7113&amp;"'!"&amp;H7113),"")</f>
        <v>757774</v>
      </c>
      <c r="G7113" s="1582" t="s">
        <v>6959</v>
      </c>
      <c r="H7113" s="2" t="s">
        <v>5768</v>
      </c>
      <c r="S7113" s="8"/>
    </row>
    <row r="7114" spans="1:19" x14ac:dyDescent="0.2">
      <c r="A7114">
        <v>7109</v>
      </c>
      <c r="B7114" s="8">
        <f>'BudgetSum 2-4'!F102</f>
        <v>686359</v>
      </c>
      <c r="C7114" s="605">
        <f t="shared" si="201"/>
        <v>-679250</v>
      </c>
      <c r="D7114" s="3" t="s">
        <v>774</v>
      </c>
      <c r="E7114" s="2" t="b">
        <f t="shared" ca="1" si="200"/>
        <v>1</v>
      </c>
      <c r="F7114" s="2" cm="1">
        <f t="array" aca="1" ref="F7114" ca="1">IF(G7114&lt;&gt;"",INDIRECT("'"&amp;G7114&amp;"'!"&amp;H7114),"")</f>
        <v>686359</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x14ac:dyDescent="0.2">
      <c r="A7117">
        <v>7112</v>
      </c>
      <c r="B7117" s="8">
        <f>'BudgetSum 2-4'!F105</f>
        <v>0</v>
      </c>
      <c r="C7117" s="605">
        <f t="shared" si="201"/>
        <v>7112</v>
      </c>
      <c r="D7117" s="3" t="s">
        <v>774</v>
      </c>
      <c r="E7117" s="2" t="b">
        <f t="shared" ca="1" si="200"/>
        <v>1</v>
      </c>
      <c r="F7117" s="2" cm="1">
        <f t="array" aca="1" ref="F7117" ca="1">IF(G7117&lt;&gt;"",INDIRECT("'"&amp;G7117&amp;"'!"&amp;H7117),"")</f>
        <v>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686359</v>
      </c>
      <c r="C7119" s="605">
        <f t="shared" si="201"/>
        <v>-679245</v>
      </c>
      <c r="D7119" s="3" t="s">
        <v>774</v>
      </c>
      <c r="E7119" s="2" t="b">
        <f t="shared" ca="1" si="200"/>
        <v>1</v>
      </c>
      <c r="F7119" s="2" cm="1">
        <f t="array" aca="1" ref="F7119" ca="1">IF(G7119&lt;&gt;"",INDIRECT("'"&amp;G7119&amp;"'!"&amp;H7119),"")</f>
        <v>686359</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686359</v>
      </c>
      <c r="C7121" s="605">
        <f t="shared" si="201"/>
        <v>-679243</v>
      </c>
      <c r="D7121" s="3" t="s">
        <v>774</v>
      </c>
      <c r="E7121" s="2" t="b">
        <f t="shared" ca="1" si="200"/>
        <v>1</v>
      </c>
      <c r="F7121" s="2" cm="1">
        <f t="array" aca="1" ref="F7121" ca="1">IF(G7121&lt;&gt;"",INDIRECT("'"&amp;G7121&amp;"'!"&amp;H7121),"")</f>
        <v>686359</v>
      </c>
      <c r="G7121" s="1582" t="s">
        <v>6959</v>
      </c>
      <c r="H7121" s="2" t="s">
        <v>5618</v>
      </c>
      <c r="S7121" s="8"/>
    </row>
    <row r="7122" spans="1:19" x14ac:dyDescent="0.2">
      <c r="A7122">
        <v>7117</v>
      </c>
      <c r="B7122" s="8">
        <f>'BudgetSum 2-4'!F110</f>
        <v>71415</v>
      </c>
      <c r="C7122" s="605">
        <f t="shared" si="201"/>
        <v>-64298</v>
      </c>
      <c r="D7122" s="3" t="s">
        <v>774</v>
      </c>
      <c r="E7122" s="2" t="b">
        <f t="shared" ca="1" si="200"/>
        <v>1</v>
      </c>
      <c r="F7122" s="2" cm="1">
        <f t="array" aca="1" ref="F7122" ca="1">IF(G7122&lt;&gt;"",INDIRECT("'"&amp;G7122&amp;"'!"&amp;H7122),"")</f>
        <v>71415</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423309</v>
      </c>
      <c r="C7126" s="605">
        <f t="shared" si="201"/>
        <v>-416188</v>
      </c>
      <c r="D7126" s="3" t="s">
        <v>774</v>
      </c>
      <c r="E7126" s="2" t="b">
        <f t="shared" ca="1" si="200"/>
        <v>1</v>
      </c>
      <c r="F7126" s="2" cm="1">
        <f t="array" aca="1" ref="F7126" ca="1">IF(G7126&lt;&gt;"",INDIRECT("'"&amp;G7126&amp;"'!"&amp;H7126),"")</f>
        <v>423309</v>
      </c>
      <c r="G7126" s="1582" t="s">
        <v>6959</v>
      </c>
      <c r="H7126" s="2" t="s">
        <v>6350</v>
      </c>
      <c r="S7126" s="8"/>
    </row>
    <row r="7127" spans="1:19" x14ac:dyDescent="0.2">
      <c r="A7127">
        <v>7122</v>
      </c>
      <c r="B7127" s="8">
        <f>'BudgetSum 2-4'!G91</f>
        <v>108276</v>
      </c>
      <c r="C7127" s="605">
        <f t="shared" si="201"/>
        <v>-101154</v>
      </c>
      <c r="D7127" s="3" t="s">
        <v>774</v>
      </c>
      <c r="E7127" s="2" t="b">
        <f t="shared" ca="1" si="200"/>
        <v>1</v>
      </c>
      <c r="F7127" s="2" cm="1">
        <f t="array" aca="1" ref="F7127" ca="1">IF(G7127&lt;&gt;"",INDIRECT("'"&amp;G7127&amp;"'!"&amp;H7127),"")</f>
        <v>108276</v>
      </c>
      <c r="G7127" s="1582" t="s">
        <v>6959</v>
      </c>
      <c r="H7127" s="2" t="s">
        <v>6351</v>
      </c>
      <c r="S7127" s="8"/>
    </row>
    <row r="7128" spans="1:19" x14ac:dyDescent="0.2">
      <c r="A7128">
        <v>7123</v>
      </c>
      <c r="B7128" s="8">
        <f>'BudgetSum 2-4'!G93</f>
        <v>356060</v>
      </c>
      <c r="C7128" s="605">
        <f t="shared" si="201"/>
        <v>-348937</v>
      </c>
      <c r="D7128" s="3" t="s">
        <v>774</v>
      </c>
      <c r="E7128" s="2" t="b">
        <f t="shared" ca="1" si="200"/>
        <v>1</v>
      </c>
      <c r="F7128" s="2" cm="1">
        <f t="array" aca="1" ref="F7128" ca="1">IF(G7128&lt;&gt;"",INDIRECT("'"&amp;G7128&amp;"'!"&amp;H7128),"")</f>
        <v>356060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356060</v>
      </c>
      <c r="C7132" s="605">
        <f t="shared" si="201"/>
        <v>-348933</v>
      </c>
      <c r="D7132" s="3" t="s">
        <v>774</v>
      </c>
      <c r="E7132" s="2" t="b">
        <f t="shared" ca="1" si="200"/>
        <v>1</v>
      </c>
      <c r="F7132" s="2" cm="1">
        <f t="array" aca="1" ref="F7132" ca="1">IF(G7132&lt;&gt;"",INDIRECT("'"&amp;G7132&amp;"'!"&amp;H7132),"")</f>
        <v>356060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356060</v>
      </c>
      <c r="C7134" s="605">
        <f t="shared" si="201"/>
        <v>-348931</v>
      </c>
      <c r="D7134" s="3" t="s">
        <v>774</v>
      </c>
      <c r="E7134" s="2" t="b">
        <f t="shared" ca="1" si="200"/>
        <v>1</v>
      </c>
      <c r="F7134" s="2" cm="1">
        <f t="array" aca="1" ref="F7134" ca="1">IF(G7134&lt;&gt;"",INDIRECT("'"&amp;G7134&amp;"'!"&amp;H7134),"")</f>
        <v>356060</v>
      </c>
      <c r="G7134" s="1582" t="s">
        <v>6959</v>
      </c>
      <c r="H7134" s="2" t="s">
        <v>5769</v>
      </c>
      <c r="S7134" s="8"/>
    </row>
    <row r="7135" spans="1:19" x14ac:dyDescent="0.2">
      <c r="A7135">
        <v>7130</v>
      </c>
      <c r="B7135" s="8">
        <f>'BudgetSum 2-4'!G101</f>
        <v>92734</v>
      </c>
      <c r="C7135" s="605">
        <f t="shared" si="201"/>
        <v>-85604</v>
      </c>
      <c r="D7135" s="3" t="s">
        <v>774</v>
      </c>
      <c r="E7135" s="2" t="b">
        <f t="shared" ca="1" si="200"/>
        <v>1</v>
      </c>
      <c r="F7135" s="2" cm="1">
        <f t="array" aca="1" ref="F7135" ca="1">IF(G7135&lt;&gt;"",INDIRECT("'"&amp;G7135&amp;"'!"&amp;H7135),"")</f>
        <v>92734</v>
      </c>
      <c r="G7135" s="1582" t="s">
        <v>6959</v>
      </c>
      <c r="H7135" s="2" t="s">
        <v>5654</v>
      </c>
      <c r="S7135" s="8"/>
    </row>
    <row r="7136" spans="1:19" x14ac:dyDescent="0.2">
      <c r="A7136">
        <v>7131</v>
      </c>
      <c r="B7136" s="8">
        <f>'BudgetSum 2-4'!G102</f>
        <v>195595</v>
      </c>
      <c r="C7136" s="605">
        <f t="shared" si="201"/>
        <v>-188464</v>
      </c>
      <c r="D7136" s="3" t="s">
        <v>774</v>
      </c>
      <c r="E7136" s="2" t="b">
        <f t="shared" ca="1" si="200"/>
        <v>1</v>
      </c>
      <c r="F7136" s="2" cm="1">
        <f t="array" aca="1" ref="F7136" ca="1">IF(G7136&lt;&gt;"",INDIRECT("'"&amp;G7136&amp;"'!"&amp;H7136),"")</f>
        <v>195595</v>
      </c>
      <c r="G7136" s="1582" t="s">
        <v>6959</v>
      </c>
      <c r="H7136" s="2" t="s">
        <v>5779</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288329</v>
      </c>
      <c r="C7141" s="605">
        <f t="shared" si="201"/>
        <v>-281193</v>
      </c>
      <c r="D7141" s="3" t="s">
        <v>774</v>
      </c>
      <c r="E7141" s="2" t="b">
        <f t="shared" ca="1" si="200"/>
        <v>1</v>
      </c>
      <c r="F7141" s="2" cm="1">
        <f t="array" aca="1" ref="F7141" ca="1">IF(G7141&lt;&gt;"",INDIRECT("'"&amp;G7141&amp;"'!"&amp;H7141),"")</f>
        <v>288329</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288329</v>
      </c>
      <c r="C7143" s="605">
        <f t="shared" si="201"/>
        <v>-281191</v>
      </c>
      <c r="D7143" s="3" t="s">
        <v>774</v>
      </c>
      <c r="E7143" s="2" t="b">
        <f t="shared" ca="1" si="200"/>
        <v>1</v>
      </c>
      <c r="F7143" s="2" cm="1">
        <f t="array" aca="1" ref="F7143" ca="1">IF(G7143&lt;&gt;"",INDIRECT("'"&amp;G7143&amp;"'!"&amp;H7143),"")</f>
        <v>288329</v>
      </c>
      <c r="G7143" s="1582" t="s">
        <v>6959</v>
      </c>
      <c r="H7143" s="2" t="s">
        <v>5655</v>
      </c>
      <c r="S7143" s="8"/>
    </row>
    <row r="7144" spans="1:19" x14ac:dyDescent="0.2">
      <c r="A7144">
        <v>7139</v>
      </c>
      <c r="B7144" s="8">
        <f>'BudgetSum 2-4'!G110</f>
        <v>67731</v>
      </c>
      <c r="C7144" s="605">
        <f t="shared" si="201"/>
        <v>-60592</v>
      </c>
      <c r="D7144" s="3" t="s">
        <v>774</v>
      </c>
      <c r="E7144" s="2" t="b">
        <f t="shared" ca="1" si="200"/>
        <v>1</v>
      </c>
      <c r="F7144" s="2" cm="1">
        <f t="array" aca="1" ref="F7144" ca="1">IF(G7144&lt;&gt;"",INDIRECT("'"&amp;G7144&amp;"'!"&amp;H7144),"")</f>
        <v>67731</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176007</v>
      </c>
      <c r="C7148" s="605">
        <f t="shared" si="201"/>
        <v>-168864</v>
      </c>
      <c r="D7148" s="3" t="s">
        <v>774</v>
      </c>
      <c r="E7148" s="2" t="b">
        <f t="shared" ca="1" si="200"/>
        <v>1</v>
      </c>
      <c r="F7148" s="2" cm="1">
        <f t="array" aca="1" ref="F7148" ca="1">IF(G7148&lt;&gt;"",INDIRECT("'"&amp;G7148&amp;"'!"&amp;H7148),"")</f>
        <v>176007</v>
      </c>
      <c r="G7148" s="1582" t="s">
        <v>6959</v>
      </c>
      <c r="H7148" s="2" t="s">
        <v>6361</v>
      </c>
      <c r="S7148" s="8"/>
    </row>
    <row r="7149" spans="1:19" x14ac:dyDescent="0.2">
      <c r="A7149">
        <v>7144</v>
      </c>
      <c r="B7149" s="8">
        <f>'BudgetSum 2-4'!H91</f>
        <v>-2000</v>
      </c>
      <c r="C7149" s="605">
        <f t="shared" si="201"/>
        <v>9144</v>
      </c>
      <c r="D7149" s="3" t="s">
        <v>774</v>
      </c>
      <c r="E7149" s="2" t="b">
        <f t="shared" ca="1" si="200"/>
        <v>1</v>
      </c>
      <c r="F7149" s="2" cm="1">
        <f t="array" aca="1" ref="F7149" ca="1">IF(G7149&lt;&gt;"",INDIRECT("'"&amp;G7149&amp;"'!"&amp;H7149),"")</f>
        <v>-2000</v>
      </c>
      <c r="G7149" s="1582" t="s">
        <v>6959</v>
      </c>
      <c r="H7149" s="2" t="s">
        <v>5933</v>
      </c>
      <c r="S7149" s="8"/>
    </row>
    <row r="7150" spans="1:19" x14ac:dyDescent="0.2">
      <c r="A7150">
        <v>7145</v>
      </c>
      <c r="B7150" s="8">
        <f>'BudgetSum 2-4'!H93</f>
        <v>0</v>
      </c>
      <c r="C7150" s="605">
        <f t="shared" si="201"/>
        <v>7145</v>
      </c>
      <c r="D7150" s="3" t="s">
        <v>774</v>
      </c>
      <c r="E7150" s="2" t="b">
        <f t="shared" ca="1" si="200"/>
        <v>1</v>
      </c>
      <c r="F7150" s="2" cm="1">
        <f t="array" aca="1" ref="F7150" ca="1">IF(G7150&lt;&gt;"",INDIRECT("'"&amp;G7150&amp;"'!"&amp;H7150),"")</f>
        <v>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0</v>
      </c>
      <c r="C7153" s="605">
        <f t="shared" si="201"/>
        <v>7148</v>
      </c>
      <c r="D7153" s="3" t="s">
        <v>774</v>
      </c>
      <c r="E7153" s="2" t="b">
        <f t="shared" ca="1" si="200"/>
        <v>1</v>
      </c>
      <c r="F7153" s="2" cm="1">
        <f t="array" aca="1" ref="F7153" ca="1">IF(G7153&lt;&gt;"",INDIRECT("'"&amp;G7153&amp;"'!"&amp;H7153),"")</f>
        <v>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0</v>
      </c>
      <c r="C7155" s="605">
        <f t="shared" si="201"/>
        <v>7150</v>
      </c>
      <c r="D7155" s="3" t="s">
        <v>774</v>
      </c>
      <c r="E7155" s="2" t="b">
        <f t="shared" ca="1" si="200"/>
        <v>1</v>
      </c>
      <c r="F7155" s="2" cm="1">
        <f t="array" aca="1" ref="F7155" ca="1">IF(G7155&lt;&gt;"",INDIRECT("'"&amp;G7155&amp;"'!"&amp;H7155),"")</f>
        <v>0</v>
      </c>
      <c r="G7155" s="1582" t="s">
        <v>6959</v>
      </c>
      <c r="H7155" s="2" t="s">
        <v>5770</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6959</v>
      </c>
      <c r="H7161" s="2" t="s">
        <v>5114</v>
      </c>
      <c r="S7161" s="8"/>
    </row>
    <row r="7162" spans="1:19" x14ac:dyDescent="0.2">
      <c r="A7162">
        <v>7157</v>
      </c>
      <c r="B7162" s="8">
        <f>'BudgetSum 2-4'!H110</f>
        <v>0</v>
      </c>
      <c r="C7162" s="605">
        <f t="shared" si="201"/>
        <v>7157</v>
      </c>
      <c r="D7162" s="3" t="s">
        <v>774</v>
      </c>
      <c r="E7162" s="2" t="b">
        <f t="shared" ca="1" si="200"/>
        <v>1</v>
      </c>
      <c r="F7162" s="2" cm="1">
        <f t="array" aca="1" ref="F7162" ca="1">IF(G7162&lt;&gt;"",INDIRECT("'"&amp;G7162&amp;"'!"&amp;H7162),"")</f>
        <v>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-2000</v>
      </c>
      <c r="C7166" s="605">
        <f t="shared" si="201"/>
        <v>9161</v>
      </c>
      <c r="D7166" s="3" t="s">
        <v>774</v>
      </c>
      <c r="E7166" s="2" t="b">
        <f t="shared" ca="1" si="200"/>
        <v>1</v>
      </c>
      <c r="F7166" s="2" cm="1">
        <f t="array" aca="1" ref="F7166" ca="1">IF(G7166&lt;&gt;"",INDIRECT("'"&amp;G7166&amp;"'!"&amp;H7166),"")</f>
        <v>-2000</v>
      </c>
      <c r="G7166" s="1582" t="s">
        <v>6959</v>
      </c>
      <c r="H7166" s="2" t="s">
        <v>6363</v>
      </c>
      <c r="S7166" s="8"/>
    </row>
    <row r="7167" spans="1:19" x14ac:dyDescent="0.2">
      <c r="A7167">
        <v>7162</v>
      </c>
      <c r="B7167" s="8">
        <f>'BudgetSum 2-4'!I91</f>
        <v>295503</v>
      </c>
      <c r="C7167" s="605">
        <f t="shared" si="201"/>
        <v>-288341</v>
      </c>
      <c r="D7167" s="3" t="s">
        <v>774</v>
      </c>
      <c r="E7167" s="2" t="b">
        <f t="shared" ca="1" si="200"/>
        <v>1</v>
      </c>
      <c r="F7167" s="2" cm="1">
        <f t="array" aca="1" ref="F7167" ca="1">IF(G7167&lt;&gt;"",INDIRECT("'"&amp;G7167&amp;"'!"&amp;H7167),"")</f>
        <v>295503</v>
      </c>
      <c r="G7167" s="1582" t="s">
        <v>6959</v>
      </c>
      <c r="H7167" s="2" t="s">
        <v>6364</v>
      </c>
      <c r="S7167" s="8"/>
    </row>
    <row r="7168" spans="1:19" x14ac:dyDescent="0.2">
      <c r="A7168">
        <v>7163</v>
      </c>
      <c r="B7168" s="8">
        <f>'BudgetSum 2-4'!I93</f>
        <v>69889</v>
      </c>
      <c r="C7168" s="605">
        <f t="shared" si="201"/>
        <v>-62726</v>
      </c>
      <c r="D7168" s="3" t="s">
        <v>774</v>
      </c>
      <c r="E7168" s="2" t="b">
        <f t="shared" ca="1" si="200"/>
        <v>1</v>
      </c>
      <c r="F7168" s="2" cm="1">
        <f t="array" aca="1" ref="F7168" ca="1">IF(G7168&lt;&gt;"",INDIRECT("'"&amp;G7168&amp;"'!"&amp;H7168),"")</f>
        <v>69889</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69889</v>
      </c>
      <c r="C7171" s="605">
        <f t="shared" si="201"/>
        <v>-62723</v>
      </c>
      <c r="D7171" s="3" t="s">
        <v>774</v>
      </c>
      <c r="E7171" s="2" t="b">
        <f t="shared" ca="1" si="202"/>
        <v>1</v>
      </c>
      <c r="F7171" s="2" cm="1">
        <f t="array" aca="1" ref="F7171" ca="1">IF(G7171&lt;&gt;"",INDIRECT("'"&amp;G7171&amp;"'!"&amp;H7171),"")</f>
        <v>69889</v>
      </c>
      <c r="G7171" s="1582" t="s">
        <v>6959</v>
      </c>
      <c r="H7171" s="2" t="s">
        <v>6368</v>
      </c>
      <c r="S7171" s="8"/>
    </row>
    <row r="7172" spans="1:19" x14ac:dyDescent="0.2">
      <c r="A7172">
        <v>7167</v>
      </c>
      <c r="B7172" s="8">
        <f>'BudgetSum 2-4'!I99</f>
        <v>69889</v>
      </c>
      <c r="C7172" s="605">
        <f t="shared" ref="C7172:C7235" si="203">A7172-B7172</f>
        <v>-62722</v>
      </c>
      <c r="D7172" s="3" t="s">
        <v>774</v>
      </c>
      <c r="E7172" s="2" t="b">
        <f t="shared" ca="1" si="202"/>
        <v>1</v>
      </c>
      <c r="F7172" s="2" cm="1">
        <f t="array" aca="1" ref="F7172" ca="1">IF(G7172&lt;&gt;"",INDIRECT("'"&amp;G7172&amp;"'!"&amp;H7172),"")</f>
        <v>69889</v>
      </c>
      <c r="G7172" s="1582" t="s">
        <v>6959</v>
      </c>
      <c r="H7172" s="2" t="s">
        <v>5771</v>
      </c>
      <c r="S7172" s="8"/>
    </row>
    <row r="7173" spans="1:19" x14ac:dyDescent="0.2">
      <c r="A7173">
        <v>7168</v>
      </c>
      <c r="B7173" s="8">
        <f>'BudgetSum 2-4'!I110</f>
        <v>69889</v>
      </c>
      <c r="C7173" s="605">
        <f t="shared" si="203"/>
        <v>-62721</v>
      </c>
      <c r="D7173" s="3" t="s">
        <v>774</v>
      </c>
      <c r="E7173" s="2" t="b">
        <f t="shared" ca="1" si="202"/>
        <v>1</v>
      </c>
      <c r="F7173" s="2" cm="1">
        <f t="array" aca="1" ref="F7173" ca="1">IF(G7173&lt;&gt;"",INDIRECT("'"&amp;G7173&amp;"'!"&amp;H7173),"")</f>
        <v>69889</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x14ac:dyDescent="0.2">
      <c r="A7177">
        <v>7172</v>
      </c>
      <c r="B7177" s="8">
        <f>'BudgetSum 2-4'!I118</f>
        <v>365392</v>
      </c>
      <c r="C7177" s="605">
        <f t="shared" si="203"/>
        <v>-358220</v>
      </c>
      <c r="D7177" s="3" t="s">
        <v>774</v>
      </c>
      <c r="E7177" s="2" t="b">
        <f t="shared" ca="1" si="202"/>
        <v>1</v>
      </c>
      <c r="F7177" s="2" cm="1">
        <f t="array" aca="1" ref="F7177" ca="1">IF(G7177&lt;&gt;"",INDIRECT("'"&amp;G7177&amp;"'!"&amp;H7177),"")</f>
        <v>365392</v>
      </c>
      <c r="G7177" s="1582" t="s">
        <v>6959</v>
      </c>
      <c r="H7177" s="2" t="s">
        <v>6371</v>
      </c>
      <c r="S7177" s="8"/>
    </row>
    <row r="7178" spans="1:19" x14ac:dyDescent="0.2">
      <c r="A7178">
        <v>7173</v>
      </c>
      <c r="B7178" s="8">
        <f>'BudgetSum 2-4'!J91</f>
        <v>117727</v>
      </c>
      <c r="C7178" s="605">
        <f t="shared" si="203"/>
        <v>-110554</v>
      </c>
      <c r="D7178" s="3" t="s">
        <v>774</v>
      </c>
      <c r="E7178" s="2" t="b">
        <f t="shared" ca="1" si="202"/>
        <v>1</v>
      </c>
      <c r="F7178" s="2" cm="1">
        <f t="array" aca="1" ref="F7178" ca="1">IF(G7178&lt;&gt;"",INDIRECT("'"&amp;G7178&amp;"'!"&amp;H7178),"")</f>
        <v>117727</v>
      </c>
      <c r="G7178" s="1582" t="s">
        <v>6959</v>
      </c>
      <c r="H7178" s="2" t="s">
        <v>6372</v>
      </c>
      <c r="S7178" s="8"/>
    </row>
    <row r="7179" spans="1:19" x14ac:dyDescent="0.2">
      <c r="A7179">
        <v>7174</v>
      </c>
      <c r="B7179" s="8">
        <f>'BudgetSum 2-4'!J93</f>
        <v>350</v>
      </c>
      <c r="C7179" s="605">
        <f t="shared" si="203"/>
        <v>6824</v>
      </c>
      <c r="D7179" s="3" t="s">
        <v>774</v>
      </c>
      <c r="E7179" s="2" t="b">
        <f t="shared" ca="1" si="202"/>
        <v>1</v>
      </c>
      <c r="F7179" s="2" cm="1">
        <f t="array" aca="1" ref="F7179" ca="1">IF(G7179&lt;&gt;"",INDIRECT("'"&amp;G7179&amp;"'!"&amp;H7179),"")</f>
        <v>350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350</v>
      </c>
      <c r="C7182" s="605">
        <f t="shared" si="203"/>
        <v>6827</v>
      </c>
      <c r="D7182" s="3" t="s">
        <v>774</v>
      </c>
      <c r="E7182" s="2" t="b">
        <f t="shared" ca="1" si="202"/>
        <v>1</v>
      </c>
      <c r="F7182" s="2" cm="1">
        <f t="array" aca="1" ref="F7182" ca="1">IF(G7182&lt;&gt;"",INDIRECT("'"&amp;G7182&amp;"'!"&amp;H7182),"")</f>
        <v>350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350</v>
      </c>
      <c r="C7184" s="605">
        <f t="shared" si="203"/>
        <v>6829</v>
      </c>
      <c r="D7184" s="3" t="s">
        <v>774</v>
      </c>
      <c r="E7184" s="2" t="b">
        <f t="shared" ca="1" si="202"/>
        <v>1</v>
      </c>
      <c r="F7184" s="2" cm="1">
        <f t="array" aca="1" ref="F7184" ca="1">IF(G7184&lt;&gt;"",INDIRECT("'"&amp;G7184&amp;"'!"&amp;H7184),"")</f>
        <v>350</v>
      </c>
      <c r="G7184" s="1582" t="s">
        <v>6959</v>
      </c>
      <c r="H7184" s="2" t="s">
        <v>5772</v>
      </c>
      <c r="S7184" s="8"/>
    </row>
    <row r="7185" spans="1:19" x14ac:dyDescent="0.2">
      <c r="A7185">
        <v>7180</v>
      </c>
      <c r="B7185" s="8">
        <f>'BudgetSum 2-4'!J101</f>
        <v>0</v>
      </c>
      <c r="C7185" s="605">
        <f t="shared" si="203"/>
        <v>7180</v>
      </c>
      <c r="D7185" s="3" t="s">
        <v>774</v>
      </c>
      <c r="E7185" s="2" t="b">
        <f t="shared" ca="1" si="202"/>
        <v>1</v>
      </c>
      <c r="F7185" s="2" cm="1">
        <f t="array" aca="1" ref="F7185" ca="1">IF(G7185&lt;&gt;"",INDIRECT("'"&amp;G7185&amp;"'!"&amp;H7185),"")</f>
        <v>0</v>
      </c>
      <c r="G7185" s="1582" t="s">
        <v>6959</v>
      </c>
      <c r="H7185" s="2" t="s">
        <v>5774</v>
      </c>
      <c r="S7185" s="8"/>
    </row>
    <row r="7186" spans="1:19" x14ac:dyDescent="0.2">
      <c r="A7186">
        <v>7181</v>
      </c>
      <c r="B7186" s="8">
        <f>'BudgetSum 2-4'!J102</f>
        <v>15200</v>
      </c>
      <c r="C7186" s="605">
        <f t="shared" si="203"/>
        <v>-8019</v>
      </c>
      <c r="D7186" s="3" t="s">
        <v>774</v>
      </c>
      <c r="E7186" s="2" t="b">
        <f t="shared" ca="1" si="202"/>
        <v>1</v>
      </c>
      <c r="F7186" s="2" cm="1">
        <f t="array" aca="1" ref="F7186" ca="1">IF(G7186&lt;&gt;"",INDIRECT("'"&amp;G7186&amp;"'!"&amp;H7186),"")</f>
        <v>15200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15200</v>
      </c>
      <c r="C7189" s="605">
        <f t="shared" si="203"/>
        <v>-8016</v>
      </c>
      <c r="D7189" s="3" t="s">
        <v>774</v>
      </c>
      <c r="E7189" s="2" t="b">
        <f t="shared" ca="1" si="202"/>
        <v>1</v>
      </c>
      <c r="F7189" s="2" cm="1">
        <f t="array" aca="1" ref="F7189" ca="1">IF(G7189&lt;&gt;"",INDIRECT("'"&amp;G7189&amp;"'!"&amp;H7189),"")</f>
        <v>15200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15200</v>
      </c>
      <c r="C7191" s="605">
        <f t="shared" si="203"/>
        <v>-8014</v>
      </c>
      <c r="D7191" s="3" t="s">
        <v>774</v>
      </c>
      <c r="E7191" s="2" t="b">
        <f t="shared" ca="1" si="202"/>
        <v>1</v>
      </c>
      <c r="F7191" s="2" cm="1">
        <f t="array" aca="1" ref="F7191" ca="1">IF(G7191&lt;&gt;"",INDIRECT("'"&amp;G7191&amp;"'!"&amp;H7191),"")</f>
        <v>15200</v>
      </c>
      <c r="G7191" s="1582" t="s">
        <v>6959</v>
      </c>
      <c r="H7191" s="2" t="s">
        <v>5797</v>
      </c>
      <c r="S7191" s="8"/>
    </row>
    <row r="7192" spans="1:19" x14ac:dyDescent="0.2">
      <c r="A7192">
        <v>7187</v>
      </c>
      <c r="B7192" s="8">
        <f>'BudgetSum 2-4'!J110</f>
        <v>-14850</v>
      </c>
      <c r="C7192" s="605">
        <f t="shared" si="203"/>
        <v>22037</v>
      </c>
      <c r="D7192" s="3" t="s">
        <v>774</v>
      </c>
      <c r="E7192" s="2" t="b">
        <f t="shared" ca="1" si="202"/>
        <v>1</v>
      </c>
      <c r="F7192" s="2" cm="1">
        <f t="array" aca="1" ref="F7192" ca="1">IF(G7192&lt;&gt;"",INDIRECT("'"&amp;G7192&amp;"'!"&amp;H7192),"")</f>
        <v>-14850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102877</v>
      </c>
      <c r="C7196" s="605">
        <f t="shared" si="203"/>
        <v>-95686</v>
      </c>
      <c r="D7196" s="3" t="s">
        <v>774</v>
      </c>
      <c r="E7196" s="2" t="b">
        <f t="shared" ca="1" si="202"/>
        <v>1</v>
      </c>
      <c r="F7196" s="2" cm="1">
        <f t="array" aca="1" ref="F7196" ca="1">IF(G7196&lt;&gt;"",INDIRECT("'"&amp;G7196&amp;"'!"&amp;H7196),"")</f>
        <v>102877</v>
      </c>
      <c r="G7196" s="1582" t="s">
        <v>6959</v>
      </c>
      <c r="H7196" s="2" t="s">
        <v>6381</v>
      </c>
      <c r="S7196" s="8"/>
    </row>
    <row r="7197" spans="1:19" x14ac:dyDescent="0.2">
      <c r="A7197">
        <v>7192</v>
      </c>
      <c r="B7197" s="8">
        <f>'BudgetSum 2-4'!K91</f>
        <v>0</v>
      </c>
      <c r="C7197" s="605">
        <f t="shared" si="203"/>
        <v>7192</v>
      </c>
      <c r="D7197" s="3" t="s">
        <v>774</v>
      </c>
      <c r="E7197" s="2" t="b">
        <f t="shared" ca="1" si="202"/>
        <v>1</v>
      </c>
      <c r="F7197" s="2" cm="1">
        <f t="array" aca="1" ref="F7197" ca="1">IF(G7197&lt;&gt;"",INDIRECT("'"&amp;G7197&amp;"'!"&amp;H7197),"")</f>
        <v>0</v>
      </c>
      <c r="G7197" s="1582" t="s">
        <v>6959</v>
      </c>
      <c r="H7197" s="2" t="s">
        <v>5934</v>
      </c>
      <c r="S7197" s="8"/>
    </row>
    <row r="7198" spans="1:19" x14ac:dyDescent="0.2">
      <c r="A7198">
        <v>7193</v>
      </c>
      <c r="B7198" s="8">
        <f>'BudgetSum 2-4'!K93</f>
        <v>0</v>
      </c>
      <c r="C7198" s="605">
        <f t="shared" si="203"/>
        <v>7193</v>
      </c>
      <c r="D7198" s="3" t="s">
        <v>774</v>
      </c>
      <c r="E7198" s="2" t="b">
        <f t="shared" ca="1" si="202"/>
        <v>1</v>
      </c>
      <c r="F7198" s="2" cm="1">
        <f t="array" aca="1" ref="F7198" ca="1">IF(G7198&lt;&gt;"",INDIRECT("'"&amp;G7198&amp;"'!"&amp;H7198),"")</f>
        <v>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0</v>
      </c>
      <c r="C7201" s="605">
        <f t="shared" si="203"/>
        <v>7196</v>
      </c>
      <c r="D7201" s="3" t="s">
        <v>774</v>
      </c>
      <c r="E7201" s="2" t="b">
        <f t="shared" ca="1" si="202"/>
        <v>1</v>
      </c>
      <c r="F7201" s="2" cm="1">
        <f t="array" aca="1" ref="F7201" ca="1">IF(G7201&lt;&gt;"",INDIRECT("'"&amp;G7201&amp;"'!"&amp;H7201),"")</f>
        <v>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0</v>
      </c>
      <c r="C7203" s="605">
        <f t="shared" si="203"/>
        <v>7198</v>
      </c>
      <c r="D7203" s="3" t="s">
        <v>774</v>
      </c>
      <c r="E7203" s="2" t="b">
        <f t="shared" ca="1" si="202"/>
        <v>1</v>
      </c>
      <c r="F7203" s="2" cm="1">
        <f t="array" aca="1" ref="F7203" ca="1">IF(G7203&lt;&gt;"",INDIRECT("'"&amp;G7203&amp;"'!"&amp;H7203),"")</f>
        <v>0</v>
      </c>
      <c r="G7203" s="1582" t="s">
        <v>6959</v>
      </c>
      <c r="H7203" s="2" t="s">
        <v>5773</v>
      </c>
      <c r="S7203" s="8"/>
    </row>
    <row r="7204" spans="1:19" x14ac:dyDescent="0.2">
      <c r="A7204">
        <v>7199</v>
      </c>
      <c r="B7204" s="8">
        <f>'BudgetSum 2-4'!K102</f>
        <v>0</v>
      </c>
      <c r="C7204" s="605">
        <f t="shared" si="203"/>
        <v>7199</v>
      </c>
      <c r="D7204" s="3" t="s">
        <v>774</v>
      </c>
      <c r="E7204" s="2" t="b">
        <f t="shared" ca="1" si="202"/>
        <v>1</v>
      </c>
      <c r="F7204" s="2" cm="1">
        <f t="array" aca="1" ref="F7204" ca="1">IF(G7204&lt;&gt;"",INDIRECT("'"&amp;G7204&amp;"'!"&amp;H7204),"")</f>
        <v>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0</v>
      </c>
      <c r="C7208" s="605">
        <f t="shared" si="203"/>
        <v>7203</v>
      </c>
      <c r="D7208" s="3" t="s">
        <v>774</v>
      </c>
      <c r="E7208" s="2" t="b">
        <f t="shared" ca="1" si="202"/>
        <v>1</v>
      </c>
      <c r="F7208" s="2" cm="1">
        <f t="array" aca="1" ref="F7208" ca="1">IF(G7208&lt;&gt;"",INDIRECT("'"&amp;G7208&amp;"'!"&amp;H7208),"")</f>
        <v>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0</v>
      </c>
      <c r="C7210" s="605">
        <f t="shared" si="203"/>
        <v>7205</v>
      </c>
      <c r="D7210" s="3" t="s">
        <v>774</v>
      </c>
      <c r="E7210" s="2" t="b">
        <f t="shared" ca="1" si="202"/>
        <v>1</v>
      </c>
      <c r="F7210" s="2" cm="1">
        <f t="array" aca="1" ref="F7210" ca="1">IF(G7210&lt;&gt;"",INDIRECT("'"&amp;G7210&amp;"'!"&amp;H7210),"")</f>
        <v>0</v>
      </c>
      <c r="G7210" s="1582" t="s">
        <v>6959</v>
      </c>
      <c r="H7210" s="2" t="s">
        <v>5116</v>
      </c>
      <c r="S7210" s="8"/>
    </row>
    <row r="7211" spans="1:19" x14ac:dyDescent="0.2">
      <c r="A7211">
        <v>7206</v>
      </c>
      <c r="B7211" s="8">
        <f>'BudgetSum 2-4'!K110</f>
        <v>0</v>
      </c>
      <c r="C7211" s="605">
        <f t="shared" si="203"/>
        <v>7206</v>
      </c>
      <c r="D7211" s="3" t="s">
        <v>774</v>
      </c>
      <c r="E7211" s="2" t="b">
        <f t="shared" ca="1" si="202"/>
        <v>1</v>
      </c>
      <c r="F7211" s="2" cm="1">
        <f t="array" aca="1" ref="F7211" ca="1">IF(G7211&lt;&gt;"",INDIRECT("'"&amp;G7211&amp;"'!"&amp;H7211),"")</f>
        <v>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0</v>
      </c>
      <c r="C7215" s="605">
        <f t="shared" si="203"/>
        <v>7210</v>
      </c>
      <c r="D7215" s="3" t="s">
        <v>774</v>
      </c>
      <c r="E7215" s="2" t="b">
        <f t="shared" ca="1" si="202"/>
        <v>1</v>
      </c>
      <c r="F7215" s="2" cm="1">
        <f t="array" aca="1" ref="F7215" ca="1">IF(G7215&lt;&gt;"",INDIRECT("'"&amp;G7215&amp;"'!"&amp;H7215),"")</f>
        <v>0</v>
      </c>
      <c r="G7215" s="1582" t="s">
        <v>6959</v>
      </c>
      <c r="H7215" s="2" t="s">
        <v>4805</v>
      </c>
      <c r="S7215" s="8"/>
    </row>
    <row r="7216" spans="1:19" x14ac:dyDescent="0.2">
      <c r="A7216">
        <v>7211</v>
      </c>
      <c r="B7216" s="8">
        <f>'CashSum 5'!C23</f>
        <v>52748</v>
      </c>
      <c r="C7216" s="605">
        <f t="shared" si="203"/>
        <v>-45537</v>
      </c>
      <c r="D7216" s="3" t="s">
        <v>776</v>
      </c>
      <c r="E7216" s="2" t="b">
        <f t="shared" ca="1" si="202"/>
        <v>1</v>
      </c>
      <c r="F7216" s="2" cm="1">
        <f t="array" aca="1" ref="F7216" ca="1">IF(G7216&lt;&gt;"",INDIRECT("'"&amp;G7216&amp;"'!"&amp;H7216),"")</f>
        <v>52748</v>
      </c>
      <c r="G7216" s="1582" t="s">
        <v>6960</v>
      </c>
      <c r="H7216" s="2" t="s">
        <v>5757</v>
      </c>
      <c r="S7216" s="8"/>
    </row>
    <row r="7217" spans="1:19" x14ac:dyDescent="0.2">
      <c r="A7217">
        <v>7212</v>
      </c>
      <c r="B7217" s="8">
        <f>'CashSum 5'!C24</f>
        <v>0</v>
      </c>
      <c r="C7217" s="605">
        <f t="shared" si="203"/>
        <v>7212</v>
      </c>
      <c r="D7217" s="3" t="s">
        <v>776</v>
      </c>
      <c r="E7217" s="2" t="b">
        <f t="shared" ca="1" si="202"/>
        <v>1</v>
      </c>
      <c r="F7217" s="2" cm="1">
        <f t="array" aca="1" ref="F7217" ca="1">IF(G7217&lt;&gt;"",INDIRECT("'"&amp;G7217&amp;"'!"&amp;H7217),"")</f>
        <v>0</v>
      </c>
      <c r="G7217" s="1582" t="s">
        <v>6960</v>
      </c>
      <c r="H7217" s="2" t="s">
        <v>5482</v>
      </c>
      <c r="S7217" s="8"/>
    </row>
    <row r="7218" spans="1:19" x14ac:dyDescent="0.2">
      <c r="A7218" s="2">
        <v>7213</v>
      </c>
      <c r="B7218" s="8">
        <f>'CashSum 5'!C25</f>
        <v>52748</v>
      </c>
      <c r="C7218" s="605">
        <f t="shared" si="203"/>
        <v>-45535</v>
      </c>
      <c r="D7218" s="3" t="s">
        <v>776</v>
      </c>
      <c r="E7218" s="2" t="b">
        <f t="shared" ca="1" si="202"/>
        <v>1</v>
      </c>
      <c r="F7218" s="2" cm="1">
        <f t="array" aca="1" ref="F7218" ca="1">IF(G7218&lt;&gt;"",INDIRECT("'"&amp;G7218&amp;"'!"&amp;H7218),"")</f>
        <v>52748</v>
      </c>
      <c r="G7218" s="1582" t="s">
        <v>6960</v>
      </c>
      <c r="H7218" s="2" t="s">
        <v>5483</v>
      </c>
      <c r="S7218" s="8"/>
    </row>
    <row r="7219" spans="1:19" x14ac:dyDescent="0.2">
      <c r="A7219" s="2">
        <v>7214</v>
      </c>
      <c r="B7219" s="8">
        <f>'CashSum 5'!C26</f>
        <v>0</v>
      </c>
      <c r="C7219" s="605">
        <f t="shared" si="203"/>
        <v>7214</v>
      </c>
      <c r="D7219" s="3" t="s">
        <v>776</v>
      </c>
      <c r="E7219" s="2" t="b">
        <f t="shared" ca="1" si="202"/>
        <v>1</v>
      </c>
      <c r="F7219" s="2" cm="1">
        <f t="array" aca="1" ref="F7219" ca="1">IF(G7219&lt;&gt;"",INDIRECT("'"&amp;G7219&amp;"'!"&amp;H7219),"")</f>
        <v>0</v>
      </c>
      <c r="G7219" s="1582" t="s">
        <v>6960</v>
      </c>
      <c r="H7219" s="2" t="s">
        <v>4519</v>
      </c>
      <c r="S7219" s="8"/>
    </row>
    <row r="7220" spans="1:19" x14ac:dyDescent="0.2">
      <c r="A7220" s="2">
        <v>7215</v>
      </c>
      <c r="B7220" s="8">
        <f>'CashSum 5'!C27</f>
        <v>52748</v>
      </c>
      <c r="C7220" s="605">
        <f t="shared" si="203"/>
        <v>-45533</v>
      </c>
      <c r="D7220" s="3" t="s">
        <v>776</v>
      </c>
      <c r="E7220" s="2" t="b">
        <f t="shared" ca="1" si="202"/>
        <v>1</v>
      </c>
      <c r="F7220" s="2" cm="1">
        <f t="array" aca="1" ref="F7220" ca="1">IF(G7220&lt;&gt;"",INDIRECT("'"&amp;G7220&amp;"'!"&amp;H7220),"")</f>
        <v>52748</v>
      </c>
      <c r="G7220" s="1582" t="s">
        <v>6960</v>
      </c>
      <c r="H7220" s="2" t="s">
        <v>5758</v>
      </c>
      <c r="S7220" s="8"/>
    </row>
    <row r="7221" spans="1:19" x14ac:dyDescent="0.2">
      <c r="A7221" s="2">
        <v>7216</v>
      </c>
      <c r="B7221" s="8">
        <f>'CashSum 5'!C29</f>
        <v>5034938</v>
      </c>
      <c r="C7221" s="605">
        <f t="shared" si="203"/>
        <v>-5027722</v>
      </c>
      <c r="D7221" s="3" t="s">
        <v>776</v>
      </c>
      <c r="E7221" s="2" t="b">
        <f t="shared" ca="1" si="202"/>
        <v>1</v>
      </c>
      <c r="F7221" s="2" cm="1">
        <f t="array" aca="1" ref="F7221" ca="1">IF(G7221&lt;&gt;"",INDIRECT("'"&amp;G7221&amp;"'!"&amp;H7221),"")</f>
        <v>5034938</v>
      </c>
      <c r="G7221" s="1582" t="s">
        <v>6960</v>
      </c>
      <c r="H7221" s="2" t="s">
        <v>5473</v>
      </c>
      <c r="S7221" s="8"/>
    </row>
    <row r="7222" spans="1:19" x14ac:dyDescent="0.2">
      <c r="A7222" s="2">
        <v>7217</v>
      </c>
      <c r="B7222" s="8">
        <f>'CashSum 5'!C30</f>
        <v>9771480</v>
      </c>
      <c r="C7222" s="605">
        <f t="shared" si="203"/>
        <v>-9764263</v>
      </c>
      <c r="D7222" s="3" t="s">
        <v>776</v>
      </c>
      <c r="E7222" s="2" t="b">
        <f t="shared" ca="1" si="202"/>
        <v>1</v>
      </c>
      <c r="F7222" s="2" cm="1">
        <f t="array" aca="1" ref="F7222" ca="1">IF(G7222&lt;&gt;"",INDIRECT("'"&amp;G7222&amp;"'!"&amp;H7222),"")</f>
        <v>9771480</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9771480</v>
      </c>
      <c r="C7224" s="605">
        <f t="shared" si="203"/>
        <v>-9764261</v>
      </c>
      <c r="D7224" s="3" t="s">
        <v>776</v>
      </c>
      <c r="E7224" s="2" t="b">
        <f t="shared" ca="1" si="202"/>
        <v>1</v>
      </c>
      <c r="F7224" s="2" cm="1">
        <f t="array" aca="1" ref="F7224" ca="1">IF(G7224&lt;&gt;"",INDIRECT("'"&amp;G7224&amp;"'!"&amp;H7224),"")</f>
        <v>9771480</v>
      </c>
      <c r="G7224" s="1582" t="s">
        <v>6960</v>
      </c>
      <c r="H7224" s="2" t="s">
        <v>5484</v>
      </c>
      <c r="S7224" s="8"/>
    </row>
    <row r="7225" spans="1:19" x14ac:dyDescent="0.2">
      <c r="A7225" s="2">
        <v>7220</v>
      </c>
      <c r="B7225" s="8">
        <f>'CashSum 5'!C33</f>
        <v>14806418</v>
      </c>
      <c r="C7225" s="605">
        <f t="shared" si="203"/>
        <v>-14799198</v>
      </c>
      <c r="D7225" s="3" t="s">
        <v>776</v>
      </c>
      <c r="E7225" s="2" t="b">
        <f t="shared" ca="1" si="202"/>
        <v>1</v>
      </c>
      <c r="F7225" s="2" cm="1">
        <f t="array" aca="1" ref="F7225" ca="1">IF(G7225&lt;&gt;"",INDIRECT("'"&amp;G7225&amp;"'!"&amp;H7225),"")</f>
        <v>14806418</v>
      </c>
      <c r="G7225" s="1582" t="s">
        <v>6960</v>
      </c>
      <c r="H7225" s="2" t="s">
        <v>5485</v>
      </c>
      <c r="S7225" s="8"/>
    </row>
    <row r="7226" spans="1:19" x14ac:dyDescent="0.2">
      <c r="A7226" s="2">
        <v>7221</v>
      </c>
      <c r="B7226" s="8">
        <f>'CashSum 5'!C34</f>
        <v>9657375</v>
      </c>
      <c r="C7226" s="605">
        <f t="shared" si="203"/>
        <v>-9650154</v>
      </c>
      <c r="D7226" s="3" t="s">
        <v>776</v>
      </c>
      <c r="E7226" s="2" t="b">
        <f t="shared" ca="1" si="202"/>
        <v>1</v>
      </c>
      <c r="F7226" s="2" cm="1">
        <f t="array" aca="1" ref="F7226" ca="1">IF(G7226&lt;&gt;"",INDIRECT("'"&amp;G7226&amp;"'!"&amp;H7226),"")</f>
        <v>9657375</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9657375</v>
      </c>
      <c r="C7228" s="605">
        <f t="shared" si="203"/>
        <v>-9650152</v>
      </c>
      <c r="D7228" s="3" t="s">
        <v>776</v>
      </c>
      <c r="E7228" s="2" t="b">
        <f t="shared" ca="1" si="202"/>
        <v>1</v>
      </c>
      <c r="F7228" s="2" cm="1">
        <f t="array" aca="1" ref="F7228" ca="1">IF(G7228&lt;&gt;"",INDIRECT("'"&amp;G7228&amp;"'!"&amp;H7228),"")</f>
        <v>9657375</v>
      </c>
      <c r="G7228" s="1582" t="s">
        <v>6960</v>
      </c>
      <c r="H7228" s="2" t="s">
        <v>4522</v>
      </c>
      <c r="S7228" s="8"/>
    </row>
    <row r="7229" spans="1:19" x14ac:dyDescent="0.2">
      <c r="A7229" s="2">
        <v>7224</v>
      </c>
      <c r="B7229" s="8">
        <f>'CashSum 5'!C37</f>
        <v>5149043</v>
      </c>
      <c r="C7229" s="605">
        <f t="shared" si="203"/>
        <v>-5141819</v>
      </c>
      <c r="D7229" s="3" t="s">
        <v>776</v>
      </c>
      <c r="E7229" s="2" t="b">
        <f t="shared" ca="1" si="202"/>
        <v>1</v>
      </c>
      <c r="F7229" s="2" cm="1">
        <f t="array" aca="1" ref="F7229" ca="1">IF(G7229&lt;&gt;"",INDIRECT("'"&amp;G7229&amp;"'!"&amp;H7229),"")</f>
        <v>5149043</v>
      </c>
      <c r="G7229" s="1582" t="s">
        <v>6960</v>
      </c>
      <c r="H7229" s="2" t="s">
        <v>4523</v>
      </c>
      <c r="S7229" s="8"/>
    </row>
    <row r="7230" spans="1:19" x14ac:dyDescent="0.2">
      <c r="A7230" s="2">
        <v>7225</v>
      </c>
      <c r="B7230" s="8">
        <f>'CashSum 5'!D29</f>
        <v>514068</v>
      </c>
      <c r="C7230" s="605">
        <f t="shared" si="203"/>
        <v>-506843</v>
      </c>
      <c r="D7230" s="3" t="s">
        <v>776</v>
      </c>
      <c r="E7230" s="2" t="b">
        <f t="shared" ca="1" si="202"/>
        <v>1</v>
      </c>
      <c r="F7230" s="2" cm="1">
        <f t="array" aca="1" ref="F7230" ca="1">IF(G7230&lt;&gt;"",INDIRECT("'"&amp;G7230&amp;"'!"&amp;H7230),"")</f>
        <v>514068</v>
      </c>
      <c r="G7230" s="1582" t="s">
        <v>6960</v>
      </c>
      <c r="H7230" s="2" t="s">
        <v>5474</v>
      </c>
      <c r="S7230" s="8"/>
    </row>
    <row r="7231" spans="1:19" x14ac:dyDescent="0.2">
      <c r="A7231" s="2">
        <v>7226</v>
      </c>
      <c r="B7231" s="8">
        <f>'CashSum 5'!D30</f>
        <v>1222591</v>
      </c>
      <c r="C7231" s="605">
        <f t="shared" si="203"/>
        <v>-1215365</v>
      </c>
      <c r="D7231" s="3" t="s">
        <v>776</v>
      </c>
      <c r="E7231" s="2" t="b">
        <f t="shared" ca="1" si="202"/>
        <v>1</v>
      </c>
      <c r="F7231" s="2" cm="1">
        <f t="array" aca="1" ref="F7231" ca="1">IF(G7231&lt;&gt;"",INDIRECT("'"&amp;G7231&amp;"'!"&amp;H7231),"")</f>
        <v>1222591</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1222591</v>
      </c>
      <c r="C7233" s="605">
        <f t="shared" si="203"/>
        <v>-1215363</v>
      </c>
      <c r="D7233" s="3" t="s">
        <v>776</v>
      </c>
      <c r="E7233" s="2" t="b">
        <f t="shared" ca="1" si="202"/>
        <v>1</v>
      </c>
      <c r="F7233" s="2" cm="1">
        <f t="array" aca="1" ref="F7233" ca="1">IF(G7233&lt;&gt;"",INDIRECT("'"&amp;G7233&amp;"'!"&amp;H7233),"")</f>
        <v>1222591</v>
      </c>
      <c r="G7233" s="1582" t="s">
        <v>6960</v>
      </c>
      <c r="H7233" s="2" t="s">
        <v>5321</v>
      </c>
      <c r="S7233" s="8"/>
    </row>
    <row r="7234" spans="1:19" x14ac:dyDescent="0.2">
      <c r="A7234">
        <v>7229</v>
      </c>
      <c r="B7234" s="8">
        <f>'CashSum 5'!D33</f>
        <v>1736659</v>
      </c>
      <c r="C7234" s="605">
        <f t="shared" si="203"/>
        <v>-1729430</v>
      </c>
      <c r="D7234" s="3" t="s">
        <v>776</v>
      </c>
      <c r="E7234" s="2" t="b">
        <f t="shared" ref="E7234:E7297" ca="1" si="204">F7234=B7234</f>
        <v>1</v>
      </c>
      <c r="F7234" s="2" cm="1">
        <f t="array" aca="1" ref="F7234" ca="1">IF(G7234&lt;&gt;"",INDIRECT("'"&amp;G7234&amp;"'!"&amp;H7234),"")</f>
        <v>1736659</v>
      </c>
      <c r="G7234" s="1582" t="s">
        <v>6960</v>
      </c>
      <c r="H7234" s="2" t="s">
        <v>6385</v>
      </c>
      <c r="S7234" s="8"/>
    </row>
    <row r="7235" spans="1:19" x14ac:dyDescent="0.2">
      <c r="A7235">
        <v>7230</v>
      </c>
      <c r="B7235" s="8">
        <f>'CashSum 5'!D34</f>
        <v>1186722</v>
      </c>
      <c r="C7235" s="605">
        <f t="shared" si="203"/>
        <v>-1179492</v>
      </c>
      <c r="D7235" s="3" t="s">
        <v>776</v>
      </c>
      <c r="E7235" s="2" t="b">
        <f t="shared" ca="1" si="204"/>
        <v>1</v>
      </c>
      <c r="F7235" s="2" cm="1">
        <f t="array" aca="1" ref="F7235" ca="1">IF(G7235&lt;&gt;"",INDIRECT("'"&amp;G7235&amp;"'!"&amp;H7235),"")</f>
        <v>1186722</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1186722</v>
      </c>
      <c r="C7237" s="605">
        <f t="shared" si="205"/>
        <v>-1179490</v>
      </c>
      <c r="D7237" s="3" t="s">
        <v>776</v>
      </c>
      <c r="E7237" s="2" t="b">
        <f t="shared" ca="1" si="204"/>
        <v>1</v>
      </c>
      <c r="F7237" s="2" cm="1">
        <f t="array" aca="1" ref="F7237" ca="1">IF(G7237&lt;&gt;"",INDIRECT("'"&amp;G7237&amp;"'!"&amp;H7237),"")</f>
        <v>1186722</v>
      </c>
      <c r="G7237" s="1582" t="s">
        <v>6960</v>
      </c>
      <c r="H7237" s="2" t="s">
        <v>5199</v>
      </c>
      <c r="S7237" s="8"/>
    </row>
    <row r="7238" spans="1:19" x14ac:dyDescent="0.2">
      <c r="A7238">
        <v>7233</v>
      </c>
      <c r="B7238" s="8">
        <f>'CashSum 5'!D37</f>
        <v>549937</v>
      </c>
      <c r="C7238" s="605">
        <f t="shared" si="205"/>
        <v>-542704</v>
      </c>
      <c r="D7238" s="3" t="s">
        <v>776</v>
      </c>
      <c r="E7238" s="2" t="b">
        <f t="shared" ca="1" si="204"/>
        <v>1</v>
      </c>
      <c r="F7238" s="2" cm="1">
        <f t="array" aca="1" ref="F7238" ca="1">IF(G7238&lt;&gt;"",INDIRECT("'"&amp;G7238&amp;"'!"&amp;H7238),"")</f>
        <v>549937</v>
      </c>
      <c r="G7238" s="1582" t="s">
        <v>6960</v>
      </c>
      <c r="H7238" s="2" t="s">
        <v>5200</v>
      </c>
      <c r="S7238" s="8"/>
    </row>
    <row r="7239" spans="1:19" x14ac:dyDescent="0.2">
      <c r="A7239">
        <v>7234</v>
      </c>
      <c r="B7239" s="8">
        <f>'CashSum 5'!E29</f>
        <v>231837</v>
      </c>
      <c r="C7239" s="605">
        <f t="shared" si="205"/>
        <v>-224603</v>
      </c>
      <c r="D7239" s="3" t="s">
        <v>776</v>
      </c>
      <c r="E7239" s="2" t="b">
        <f t="shared" ca="1" si="204"/>
        <v>1</v>
      </c>
      <c r="F7239" s="2" cm="1">
        <f t="array" aca="1" ref="F7239" ca="1">IF(G7239&lt;&gt;"",INDIRECT("'"&amp;G7239&amp;"'!"&amp;H7239),"")</f>
        <v>231837</v>
      </c>
      <c r="G7239" s="1582" t="s">
        <v>6960</v>
      </c>
      <c r="H7239" s="2" t="s">
        <v>6386</v>
      </c>
      <c r="S7239" s="8"/>
    </row>
    <row r="7240" spans="1:19" x14ac:dyDescent="0.2">
      <c r="A7240">
        <v>7235</v>
      </c>
      <c r="B7240" s="8">
        <f>'CashSum 5'!E30</f>
        <v>453066</v>
      </c>
      <c r="C7240" s="605">
        <f t="shared" si="205"/>
        <v>-445831</v>
      </c>
      <c r="D7240" s="3" t="s">
        <v>776</v>
      </c>
      <c r="E7240" s="2" t="b">
        <f t="shared" ca="1" si="204"/>
        <v>1</v>
      </c>
      <c r="F7240" s="2" cm="1">
        <f t="array" aca="1" ref="F7240" ca="1">IF(G7240&lt;&gt;"",INDIRECT("'"&amp;G7240&amp;"'!"&amp;H7240),"")</f>
        <v>453066</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453066</v>
      </c>
      <c r="C7242" s="605">
        <f t="shared" si="205"/>
        <v>-445829</v>
      </c>
      <c r="D7242" s="3" t="s">
        <v>776</v>
      </c>
      <c r="E7242" s="2" t="b">
        <f t="shared" ca="1" si="204"/>
        <v>1</v>
      </c>
      <c r="F7242" s="2" cm="1">
        <f t="array" aca="1" ref="F7242" ca="1">IF(G7242&lt;&gt;"",INDIRECT("'"&amp;G7242&amp;"'!"&amp;H7242),"")</f>
        <v>453066</v>
      </c>
      <c r="G7242" s="1582" t="s">
        <v>6960</v>
      </c>
      <c r="H7242" s="2" t="s">
        <v>6388</v>
      </c>
      <c r="S7242" s="8"/>
    </row>
    <row r="7243" spans="1:19" x14ac:dyDescent="0.2">
      <c r="A7243">
        <v>7238</v>
      </c>
      <c r="B7243" s="8">
        <f>'CashSum 5'!E33</f>
        <v>684903</v>
      </c>
      <c r="C7243" s="605">
        <f t="shared" si="205"/>
        <v>-677665</v>
      </c>
      <c r="D7243" s="3" t="s">
        <v>776</v>
      </c>
      <c r="E7243" s="2" t="b">
        <f t="shared" ca="1" si="204"/>
        <v>1</v>
      </c>
      <c r="F7243" s="2" cm="1">
        <f t="array" aca="1" ref="F7243" ca="1">IF(G7243&lt;&gt;"",INDIRECT("'"&amp;G7243&amp;"'!"&amp;H7243),"")</f>
        <v>684903</v>
      </c>
      <c r="G7243" s="1582" t="s">
        <v>6960</v>
      </c>
      <c r="H7243" s="2" t="s">
        <v>5322</v>
      </c>
      <c r="S7243" s="8"/>
    </row>
    <row r="7244" spans="1:19" x14ac:dyDescent="0.2">
      <c r="A7244">
        <v>7239</v>
      </c>
      <c r="B7244" s="8">
        <f>'CashSum 5'!E34</f>
        <v>428960</v>
      </c>
      <c r="C7244" s="605">
        <f t="shared" si="205"/>
        <v>-421721</v>
      </c>
      <c r="D7244" s="3" t="s">
        <v>776</v>
      </c>
      <c r="E7244" s="2" t="b">
        <f t="shared" ca="1" si="204"/>
        <v>1</v>
      </c>
      <c r="F7244" s="2" cm="1">
        <f t="array" aca="1" ref="F7244" ca="1">IF(G7244&lt;&gt;"",INDIRECT("'"&amp;G7244&amp;"'!"&amp;H7244),"")</f>
        <v>428960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428960</v>
      </c>
      <c r="C7246" s="605">
        <f t="shared" si="205"/>
        <v>-421719</v>
      </c>
      <c r="D7246" s="3" t="s">
        <v>776</v>
      </c>
      <c r="E7246" s="2" t="b">
        <f t="shared" ca="1" si="204"/>
        <v>1</v>
      </c>
      <c r="F7246" s="2" cm="1">
        <f t="array" aca="1" ref="F7246" ca="1">IF(G7246&lt;&gt;"",INDIRECT("'"&amp;G7246&amp;"'!"&amp;H7246),"")</f>
        <v>428960</v>
      </c>
      <c r="G7246" s="1582" t="s">
        <v>6960</v>
      </c>
      <c r="H7246" s="2" t="s">
        <v>4525</v>
      </c>
      <c r="S7246" s="8"/>
    </row>
    <row r="7247" spans="1:19" x14ac:dyDescent="0.2">
      <c r="A7247">
        <v>7242</v>
      </c>
      <c r="B7247" s="8">
        <f>'CashSum 5'!E37</f>
        <v>255943</v>
      </c>
      <c r="C7247" s="605">
        <f t="shared" si="205"/>
        <v>-248701</v>
      </c>
      <c r="D7247" s="3" t="s">
        <v>776</v>
      </c>
      <c r="E7247" s="2" t="b">
        <f t="shared" ca="1" si="204"/>
        <v>1</v>
      </c>
      <c r="F7247" s="2" cm="1">
        <f t="array" aca="1" ref="F7247" ca="1">IF(G7247&lt;&gt;"",INDIRECT("'"&amp;G7247&amp;"'!"&amp;H7247),"")</f>
        <v>255943</v>
      </c>
      <c r="G7247" s="1582" t="s">
        <v>6960</v>
      </c>
      <c r="H7247" s="2" t="s">
        <v>4526</v>
      </c>
      <c r="S7247" s="8"/>
    </row>
    <row r="7248" spans="1:19" x14ac:dyDescent="0.2">
      <c r="A7248">
        <v>7243</v>
      </c>
      <c r="B7248" s="8">
        <f>'CashSum 5'!F29</f>
        <v>351894</v>
      </c>
      <c r="C7248" s="605">
        <f t="shared" si="205"/>
        <v>-344651</v>
      </c>
      <c r="D7248" s="3" t="s">
        <v>776</v>
      </c>
      <c r="E7248" s="2" t="b">
        <f t="shared" ca="1" si="204"/>
        <v>1</v>
      </c>
      <c r="F7248" s="2" cm="1">
        <f t="array" aca="1" ref="F7248" ca="1">IF(G7248&lt;&gt;"",INDIRECT("'"&amp;G7248&amp;"'!"&amp;H7248),"")</f>
        <v>351894</v>
      </c>
      <c r="G7248" s="1582" t="s">
        <v>6960</v>
      </c>
      <c r="H7248" s="2" t="s">
        <v>5475</v>
      </c>
      <c r="S7248" s="8"/>
    </row>
    <row r="7249" spans="1:19" x14ac:dyDescent="0.2">
      <c r="A7249">
        <v>7244</v>
      </c>
      <c r="B7249" s="8">
        <f>'CashSum 5'!F30</f>
        <v>757774</v>
      </c>
      <c r="C7249" s="605">
        <f t="shared" si="205"/>
        <v>-750530</v>
      </c>
      <c r="D7249" s="3" t="s">
        <v>776</v>
      </c>
      <c r="E7249" s="2" t="b">
        <f t="shared" ca="1" si="204"/>
        <v>1</v>
      </c>
      <c r="F7249" s="2" cm="1">
        <f t="array" aca="1" ref="F7249" ca="1">IF(G7249&lt;&gt;"",INDIRECT("'"&amp;G7249&amp;"'!"&amp;H7249),"")</f>
        <v>757774</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757774</v>
      </c>
      <c r="C7251" s="605">
        <f t="shared" si="205"/>
        <v>-750528</v>
      </c>
      <c r="D7251" s="3" t="s">
        <v>776</v>
      </c>
      <c r="E7251" s="2" t="b">
        <f t="shared" ca="1" si="204"/>
        <v>1</v>
      </c>
      <c r="F7251" s="2" cm="1">
        <f t="array" aca="1" ref="F7251" ca="1">IF(G7251&lt;&gt;"",INDIRECT("'"&amp;G7251&amp;"'!"&amp;H7251),"")</f>
        <v>757774</v>
      </c>
      <c r="G7251" s="1582" t="s">
        <v>6960</v>
      </c>
      <c r="H7251" s="2" t="s">
        <v>6390</v>
      </c>
      <c r="S7251" s="8"/>
    </row>
    <row r="7252" spans="1:19" x14ac:dyDescent="0.2">
      <c r="A7252">
        <v>7247</v>
      </c>
      <c r="B7252" s="8">
        <f>'CashSum 5'!F33</f>
        <v>1109668</v>
      </c>
      <c r="C7252" s="605">
        <f t="shared" si="205"/>
        <v>-1102421</v>
      </c>
      <c r="D7252" s="3" t="s">
        <v>776</v>
      </c>
      <c r="E7252" s="2" t="b">
        <f t="shared" ca="1" si="204"/>
        <v>1</v>
      </c>
      <c r="F7252" s="2" cm="1">
        <f t="array" aca="1" ref="F7252" ca="1">IF(G7252&lt;&gt;"",INDIRECT("'"&amp;G7252&amp;"'!"&amp;H7252),"")</f>
        <v>1109668</v>
      </c>
      <c r="G7252" s="1582" t="s">
        <v>6960</v>
      </c>
      <c r="H7252" s="2" t="s">
        <v>6391</v>
      </c>
      <c r="S7252" s="8"/>
    </row>
    <row r="7253" spans="1:19" x14ac:dyDescent="0.2">
      <c r="A7253">
        <v>7248</v>
      </c>
      <c r="B7253" s="8">
        <f>'CashSum 5'!F34</f>
        <v>686359</v>
      </c>
      <c r="C7253" s="605">
        <f t="shared" si="205"/>
        <v>-679111</v>
      </c>
      <c r="D7253" s="3" t="s">
        <v>776</v>
      </c>
      <c r="E7253" s="2" t="b">
        <f t="shared" ca="1" si="204"/>
        <v>1</v>
      </c>
      <c r="F7253" s="2" cm="1">
        <f t="array" aca="1" ref="F7253" ca="1">IF(G7253&lt;&gt;"",INDIRECT("'"&amp;G7253&amp;"'!"&amp;H7253),"")</f>
        <v>686359</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686359</v>
      </c>
      <c r="C7255" s="605">
        <f t="shared" si="205"/>
        <v>-679109</v>
      </c>
      <c r="D7255" s="3" t="s">
        <v>776</v>
      </c>
      <c r="E7255" s="2" t="b">
        <f t="shared" ca="1" si="204"/>
        <v>1</v>
      </c>
      <c r="F7255" s="2" cm="1">
        <f t="array" aca="1" ref="F7255" ca="1">IF(G7255&lt;&gt;"",INDIRECT("'"&amp;G7255&amp;"'!"&amp;H7255),"")</f>
        <v>686359</v>
      </c>
      <c r="G7255" s="1582" t="s">
        <v>6960</v>
      </c>
      <c r="H7255" s="2" t="s">
        <v>5203</v>
      </c>
      <c r="S7255" s="8"/>
    </row>
    <row r="7256" spans="1:19" x14ac:dyDescent="0.2">
      <c r="A7256">
        <v>7251</v>
      </c>
      <c r="B7256" s="8">
        <f>'CashSum 5'!F37</f>
        <v>423309</v>
      </c>
      <c r="C7256" s="605">
        <f t="shared" si="205"/>
        <v>-416058</v>
      </c>
      <c r="D7256" s="3" t="s">
        <v>776</v>
      </c>
      <c r="E7256" s="2" t="b">
        <f t="shared" ca="1" si="204"/>
        <v>1</v>
      </c>
      <c r="F7256" s="2" cm="1">
        <f t="array" aca="1" ref="F7256" ca="1">IF(G7256&lt;&gt;"",INDIRECT("'"&amp;G7256&amp;"'!"&amp;H7256),"")</f>
        <v>423309</v>
      </c>
      <c r="G7256" s="1582" t="s">
        <v>6960</v>
      </c>
      <c r="H7256" s="2" t="s">
        <v>5204</v>
      </c>
      <c r="S7256" s="8"/>
    </row>
    <row r="7257" spans="1:19" x14ac:dyDescent="0.2">
      <c r="A7257">
        <v>7252</v>
      </c>
      <c r="B7257" s="8">
        <f>'CashSum 5'!G29</f>
        <v>108276</v>
      </c>
      <c r="C7257" s="605">
        <f t="shared" si="205"/>
        <v>-101024</v>
      </c>
      <c r="D7257" s="3" t="s">
        <v>776</v>
      </c>
      <c r="E7257" s="2" t="b">
        <f t="shared" ca="1" si="204"/>
        <v>1</v>
      </c>
      <c r="F7257" s="2" cm="1">
        <f t="array" aca="1" ref="F7257" ca="1">IF(G7257&lt;&gt;"",INDIRECT("'"&amp;G7257&amp;"'!"&amp;H7257),"")</f>
        <v>108276</v>
      </c>
      <c r="G7257" s="1582" t="s">
        <v>6960</v>
      </c>
      <c r="H7257" s="2" t="s">
        <v>6392</v>
      </c>
      <c r="S7257" s="8"/>
    </row>
    <row r="7258" spans="1:19" x14ac:dyDescent="0.2">
      <c r="A7258">
        <v>7253</v>
      </c>
      <c r="B7258" s="8">
        <f>'CashSum 5'!G30</f>
        <v>356060</v>
      </c>
      <c r="C7258" s="605">
        <f t="shared" si="205"/>
        <v>-348807</v>
      </c>
      <c r="D7258" s="3" t="s">
        <v>776</v>
      </c>
      <c r="E7258" s="2" t="b">
        <f t="shared" ca="1" si="204"/>
        <v>1</v>
      </c>
      <c r="F7258" s="2" cm="1">
        <f t="array" aca="1" ref="F7258" ca="1">IF(G7258&lt;&gt;"",INDIRECT("'"&amp;G7258&amp;"'!"&amp;H7258),"")</f>
        <v>356060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356060</v>
      </c>
      <c r="C7260" s="605">
        <f t="shared" si="205"/>
        <v>-348805</v>
      </c>
      <c r="D7260" s="3" t="s">
        <v>776</v>
      </c>
      <c r="E7260" s="2" t="b">
        <f t="shared" ca="1" si="204"/>
        <v>1</v>
      </c>
      <c r="F7260" s="2" cm="1">
        <f t="array" aca="1" ref="F7260" ca="1">IF(G7260&lt;&gt;"",INDIRECT("'"&amp;G7260&amp;"'!"&amp;H7260),"")</f>
        <v>356060</v>
      </c>
      <c r="G7260" s="1582" t="s">
        <v>6960</v>
      </c>
      <c r="H7260" s="2" t="s">
        <v>6394</v>
      </c>
      <c r="S7260" s="8"/>
    </row>
    <row r="7261" spans="1:19" x14ac:dyDescent="0.2">
      <c r="A7261">
        <v>7256</v>
      </c>
      <c r="B7261" s="8">
        <f>'CashSum 5'!G33</f>
        <v>464336</v>
      </c>
      <c r="C7261" s="605">
        <f t="shared" si="205"/>
        <v>-457080</v>
      </c>
      <c r="D7261" s="3" t="s">
        <v>776</v>
      </c>
      <c r="E7261" s="2" t="b">
        <f t="shared" ca="1" si="204"/>
        <v>1</v>
      </c>
      <c r="F7261" s="2" cm="1">
        <f t="array" aca="1" ref="F7261" ca="1">IF(G7261&lt;&gt;"",INDIRECT("'"&amp;G7261&amp;"'!"&amp;H7261),"")</f>
        <v>464336</v>
      </c>
      <c r="G7261" s="1582" t="s">
        <v>6960</v>
      </c>
      <c r="H7261" s="2" t="s">
        <v>6395</v>
      </c>
      <c r="S7261" s="8"/>
    </row>
    <row r="7262" spans="1:19" x14ac:dyDescent="0.2">
      <c r="A7262">
        <v>7257</v>
      </c>
      <c r="B7262" s="8">
        <f>'CashSum 5'!G34</f>
        <v>288329</v>
      </c>
      <c r="C7262" s="605">
        <f t="shared" si="205"/>
        <v>-281072</v>
      </c>
      <c r="D7262" s="3" t="s">
        <v>776</v>
      </c>
      <c r="E7262" s="2" t="b">
        <f t="shared" ca="1" si="204"/>
        <v>1</v>
      </c>
      <c r="F7262" s="2" cm="1">
        <f t="array" aca="1" ref="F7262" ca="1">IF(G7262&lt;&gt;"",INDIRECT("'"&amp;G7262&amp;"'!"&amp;H7262),"")</f>
        <v>288329</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288329</v>
      </c>
      <c r="C7264" s="605">
        <f t="shared" si="205"/>
        <v>-281070</v>
      </c>
      <c r="D7264" s="3" t="s">
        <v>776</v>
      </c>
      <c r="E7264" s="2" t="b">
        <f t="shared" ca="1" si="204"/>
        <v>1</v>
      </c>
      <c r="F7264" s="2" cm="1">
        <f t="array" aca="1" ref="F7264" ca="1">IF(G7264&lt;&gt;"",INDIRECT("'"&amp;G7264&amp;"'!"&amp;H7264),"")</f>
        <v>288329</v>
      </c>
      <c r="G7264" s="1582" t="s">
        <v>6960</v>
      </c>
      <c r="H7264" s="2" t="s">
        <v>6397</v>
      </c>
      <c r="S7264" s="8"/>
    </row>
    <row r="7265" spans="1:19" x14ac:dyDescent="0.2">
      <c r="A7265">
        <v>7260</v>
      </c>
      <c r="B7265" s="8">
        <f>'CashSum 5'!G37</f>
        <v>176007</v>
      </c>
      <c r="C7265" s="605">
        <f t="shared" si="205"/>
        <v>-168747</v>
      </c>
      <c r="D7265" s="3" t="s">
        <v>776</v>
      </c>
      <c r="E7265" s="2" t="b">
        <f t="shared" ca="1" si="204"/>
        <v>1</v>
      </c>
      <c r="F7265" s="2" cm="1">
        <f t="array" aca="1" ref="F7265" ca="1">IF(G7265&lt;&gt;"",INDIRECT("'"&amp;G7265&amp;"'!"&amp;H7265),"")</f>
        <v>176007</v>
      </c>
      <c r="G7265" s="1582" t="s">
        <v>6960</v>
      </c>
      <c r="H7265" s="2" t="s">
        <v>6398</v>
      </c>
      <c r="S7265" s="8"/>
    </row>
    <row r="7266" spans="1:19" x14ac:dyDescent="0.2">
      <c r="A7266">
        <v>7261</v>
      </c>
      <c r="B7266" s="8">
        <f>'CashSum 5'!H29</f>
        <v>0</v>
      </c>
      <c r="C7266" s="605">
        <f t="shared" si="205"/>
        <v>7261</v>
      </c>
      <c r="D7266" s="3" t="s">
        <v>776</v>
      </c>
      <c r="E7266" s="2" t="b">
        <f t="shared" ca="1" si="204"/>
        <v>1</v>
      </c>
      <c r="F7266" s="2" cm="1">
        <f t="array" aca="1" ref="F7266" ca="1">IF(G7266&lt;&gt;"",INDIRECT("'"&amp;G7266&amp;"'!"&amp;H7266),"")</f>
        <v>0</v>
      </c>
      <c r="G7266" s="1582" t="s">
        <v>6960</v>
      </c>
      <c r="H7266" s="2" t="s">
        <v>5860</v>
      </c>
      <c r="S7266" s="8"/>
    </row>
    <row r="7267" spans="1:19" x14ac:dyDescent="0.2">
      <c r="A7267">
        <v>7262</v>
      </c>
      <c r="B7267" s="8">
        <f>'CashSum 5'!H30</f>
        <v>0</v>
      </c>
      <c r="C7267" s="605">
        <f t="shared" si="205"/>
        <v>7262</v>
      </c>
      <c r="D7267" s="3" t="s">
        <v>776</v>
      </c>
      <c r="E7267" s="2" t="b">
        <f t="shared" ca="1" si="204"/>
        <v>1</v>
      </c>
      <c r="F7267" s="2" cm="1">
        <f t="array" aca="1" ref="F7267" ca="1">IF(G7267&lt;&gt;"",INDIRECT("'"&amp;G7267&amp;"'!"&amp;H7267),"")</f>
        <v>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0</v>
      </c>
      <c r="C7269" s="605">
        <f t="shared" si="205"/>
        <v>7264</v>
      </c>
      <c r="D7269" s="3" t="s">
        <v>776</v>
      </c>
      <c r="E7269" s="2" t="b">
        <f t="shared" ca="1" si="204"/>
        <v>1</v>
      </c>
      <c r="F7269" s="2" cm="1">
        <f t="array" aca="1" ref="F7269" ca="1">IF(G7269&lt;&gt;"",INDIRECT("'"&amp;G7269&amp;"'!"&amp;H7269),"")</f>
        <v>0</v>
      </c>
      <c r="G7269" s="1582" t="s">
        <v>6960</v>
      </c>
      <c r="H7269" s="2" t="s">
        <v>5864</v>
      </c>
      <c r="S7269" s="8"/>
    </row>
    <row r="7270" spans="1:19" x14ac:dyDescent="0.2">
      <c r="A7270">
        <v>7265</v>
      </c>
      <c r="B7270" s="8">
        <f>'CashSum 5'!H33</f>
        <v>0</v>
      </c>
      <c r="C7270" s="605">
        <f t="shared" si="205"/>
        <v>7265</v>
      </c>
      <c r="D7270" s="3" t="s">
        <v>776</v>
      </c>
      <c r="E7270" s="2" t="b">
        <f t="shared" ca="1" si="204"/>
        <v>1</v>
      </c>
      <c r="F7270" s="2" cm="1">
        <f t="array" aca="1" ref="F7270" ca="1">IF(G7270&lt;&gt;"",INDIRECT("'"&amp;G7270&amp;"'!"&amp;H7270),"")</f>
        <v>0</v>
      </c>
      <c r="G7270" s="1582" t="s">
        <v>6960</v>
      </c>
      <c r="H7270" s="2" t="s">
        <v>6399</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6960</v>
      </c>
      <c r="H7273" s="2" t="s">
        <v>4528</v>
      </c>
      <c r="S7273" s="8"/>
    </row>
    <row r="7274" spans="1:19" x14ac:dyDescent="0.2">
      <c r="A7274">
        <v>7269</v>
      </c>
      <c r="B7274" s="8">
        <f>'CashSum 5'!H37</f>
        <v>0</v>
      </c>
      <c r="C7274" s="605">
        <f t="shared" si="205"/>
        <v>7269</v>
      </c>
      <c r="D7274" s="3" t="s">
        <v>776</v>
      </c>
      <c r="E7274" s="2" t="b">
        <f t="shared" ca="1" si="204"/>
        <v>1</v>
      </c>
      <c r="F7274" s="2" cm="1">
        <f t="array" aca="1" ref="F7274" ca="1">IF(G7274&lt;&gt;"",INDIRECT("'"&amp;G7274&amp;"'!"&amp;H7274),"")</f>
        <v>0</v>
      </c>
      <c r="G7274" s="1582" t="s">
        <v>6960</v>
      </c>
      <c r="H7274" s="2" t="s">
        <v>4529</v>
      </c>
      <c r="S7274" s="8"/>
    </row>
    <row r="7275" spans="1:19" x14ac:dyDescent="0.2">
      <c r="A7275">
        <v>7270</v>
      </c>
      <c r="B7275" s="8">
        <f>'CashSum 5'!I29</f>
        <v>295503</v>
      </c>
      <c r="C7275" s="605">
        <f t="shared" si="205"/>
        <v>-288233</v>
      </c>
      <c r="D7275" s="3" t="s">
        <v>776</v>
      </c>
      <c r="E7275" s="2" t="b">
        <f t="shared" ca="1" si="204"/>
        <v>1</v>
      </c>
      <c r="F7275" s="2" cm="1">
        <f t="array" aca="1" ref="F7275" ca="1">IF(G7275&lt;&gt;"",INDIRECT("'"&amp;G7275&amp;"'!"&amp;H7275),"")</f>
        <v>295503</v>
      </c>
      <c r="G7275" s="1582" t="s">
        <v>6960</v>
      </c>
      <c r="H7275" s="2" t="s">
        <v>6400</v>
      </c>
      <c r="S7275" s="8"/>
    </row>
    <row r="7276" spans="1:19" x14ac:dyDescent="0.2">
      <c r="A7276">
        <v>7271</v>
      </c>
      <c r="B7276" s="8">
        <f>'CashSum 5'!I30</f>
        <v>69889</v>
      </c>
      <c r="C7276" s="605">
        <f t="shared" si="205"/>
        <v>-62618</v>
      </c>
      <c r="D7276" s="3" t="s">
        <v>776</v>
      </c>
      <c r="E7276" s="2" t="b">
        <f t="shared" ca="1" si="204"/>
        <v>1</v>
      </c>
      <c r="F7276" s="2" cm="1">
        <f t="array" aca="1" ref="F7276" ca="1">IF(G7276&lt;&gt;"",INDIRECT("'"&amp;G7276&amp;"'!"&amp;H7276),"")</f>
        <v>69889</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69889</v>
      </c>
      <c r="C7278" s="605">
        <f t="shared" si="205"/>
        <v>-62616</v>
      </c>
      <c r="D7278" s="3" t="s">
        <v>776</v>
      </c>
      <c r="E7278" s="2" t="b">
        <f t="shared" ca="1" si="204"/>
        <v>1</v>
      </c>
      <c r="F7278" s="2" cm="1">
        <f t="array" aca="1" ref="F7278" ca="1">IF(G7278&lt;&gt;"",INDIRECT("'"&amp;G7278&amp;"'!"&amp;H7278),"")</f>
        <v>69889</v>
      </c>
      <c r="G7278" s="1582" t="s">
        <v>6960</v>
      </c>
      <c r="H7278" s="2" t="s">
        <v>6402</v>
      </c>
      <c r="S7278" s="8"/>
    </row>
    <row r="7279" spans="1:19" x14ac:dyDescent="0.2">
      <c r="A7279">
        <v>7274</v>
      </c>
      <c r="B7279" s="8">
        <f>'CashSum 5'!I33</f>
        <v>365392</v>
      </c>
      <c r="C7279" s="605">
        <f t="shared" si="205"/>
        <v>-358118</v>
      </c>
      <c r="D7279" s="3" t="s">
        <v>776</v>
      </c>
      <c r="E7279" s="2" t="b">
        <f t="shared" ca="1" si="204"/>
        <v>1</v>
      </c>
      <c r="F7279" s="2" cm="1">
        <f t="array" aca="1" ref="F7279" ca="1">IF(G7279&lt;&gt;"",INDIRECT("'"&amp;G7279&amp;"'!"&amp;H7279),"")</f>
        <v>365392</v>
      </c>
      <c r="G7279" s="1582" t="s">
        <v>6960</v>
      </c>
      <c r="H7279" s="2" t="s">
        <v>6403</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x14ac:dyDescent="0.2">
      <c r="A7283">
        <v>7278</v>
      </c>
      <c r="B7283" s="8">
        <f>'CashSum 5'!I37</f>
        <v>365392</v>
      </c>
      <c r="C7283" s="605">
        <f t="shared" si="205"/>
        <v>-358114</v>
      </c>
      <c r="D7283" s="3" t="s">
        <v>776</v>
      </c>
      <c r="E7283" s="2" t="b">
        <f t="shared" ca="1" si="204"/>
        <v>1</v>
      </c>
      <c r="F7283" s="2" cm="1">
        <f t="array" aca="1" ref="F7283" ca="1">IF(G7283&lt;&gt;"",INDIRECT("'"&amp;G7283&amp;"'!"&amp;H7283),"")</f>
        <v>365392</v>
      </c>
      <c r="G7283" s="1582" t="s">
        <v>6960</v>
      </c>
      <c r="H7283" s="2" t="s">
        <v>4532</v>
      </c>
      <c r="S7283" s="8"/>
    </row>
    <row r="7284" spans="1:19" x14ac:dyDescent="0.2">
      <c r="A7284">
        <v>7279</v>
      </c>
      <c r="B7284" s="8">
        <f>'CashSum 5'!J29</f>
        <v>117727</v>
      </c>
      <c r="C7284" s="605">
        <f t="shared" si="205"/>
        <v>-110448</v>
      </c>
      <c r="D7284" s="3" t="s">
        <v>776</v>
      </c>
      <c r="E7284" s="2" t="b">
        <f t="shared" ca="1" si="204"/>
        <v>1</v>
      </c>
      <c r="F7284" s="2" cm="1">
        <f t="array" aca="1" ref="F7284" ca="1">IF(G7284&lt;&gt;"",INDIRECT("'"&amp;G7284&amp;"'!"&amp;H7284),"")</f>
        <v>117727</v>
      </c>
      <c r="G7284" s="1582" t="s">
        <v>6960</v>
      </c>
      <c r="H7284" s="2" t="s">
        <v>6404</v>
      </c>
      <c r="S7284" s="8"/>
    </row>
    <row r="7285" spans="1:19" x14ac:dyDescent="0.2">
      <c r="A7285">
        <v>7280</v>
      </c>
      <c r="B7285" s="8">
        <f>'CashSum 5'!J30</f>
        <v>350</v>
      </c>
      <c r="C7285" s="605">
        <f t="shared" si="205"/>
        <v>6930</v>
      </c>
      <c r="D7285" s="3" t="s">
        <v>776</v>
      </c>
      <c r="E7285" s="2" t="b">
        <f t="shared" ca="1" si="204"/>
        <v>1</v>
      </c>
      <c r="F7285" s="2" cm="1">
        <f t="array" aca="1" ref="F7285" ca="1">IF(G7285&lt;&gt;"",INDIRECT("'"&amp;G7285&amp;"'!"&amp;H7285),"")</f>
        <v>350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350</v>
      </c>
      <c r="C7287" s="605">
        <f t="shared" si="205"/>
        <v>6932</v>
      </c>
      <c r="D7287" s="3" t="s">
        <v>776</v>
      </c>
      <c r="E7287" s="2" t="b">
        <f t="shared" ca="1" si="204"/>
        <v>1</v>
      </c>
      <c r="F7287" s="2" cm="1">
        <f t="array" aca="1" ref="F7287" ca="1">IF(G7287&lt;&gt;"",INDIRECT("'"&amp;G7287&amp;"'!"&amp;H7287),"")</f>
        <v>350</v>
      </c>
      <c r="G7287" s="1582" t="s">
        <v>6960</v>
      </c>
      <c r="H7287" s="2" t="s">
        <v>6406</v>
      </c>
      <c r="S7287" s="8"/>
    </row>
    <row r="7288" spans="1:19" x14ac:dyDescent="0.2">
      <c r="A7288">
        <v>7283</v>
      </c>
      <c r="B7288" s="8">
        <f>'CashSum 5'!J33</f>
        <v>118077</v>
      </c>
      <c r="C7288" s="605">
        <f t="shared" si="205"/>
        <v>-110794</v>
      </c>
      <c r="D7288" s="3" t="s">
        <v>776</v>
      </c>
      <c r="E7288" s="2" t="b">
        <f t="shared" ca="1" si="204"/>
        <v>1</v>
      </c>
      <c r="F7288" s="2" cm="1">
        <f t="array" aca="1" ref="F7288" ca="1">IF(G7288&lt;&gt;"",INDIRECT("'"&amp;G7288&amp;"'!"&amp;H7288),"")</f>
        <v>118077</v>
      </c>
      <c r="G7288" s="1582" t="s">
        <v>6960</v>
      </c>
      <c r="H7288" s="2" t="s">
        <v>6407</v>
      </c>
      <c r="S7288" s="8"/>
    </row>
    <row r="7289" spans="1:19" x14ac:dyDescent="0.2">
      <c r="A7289">
        <v>7284</v>
      </c>
      <c r="B7289" s="8">
        <f>'CashSum 5'!J34</f>
        <v>15200</v>
      </c>
      <c r="C7289" s="605">
        <f t="shared" si="205"/>
        <v>-7916</v>
      </c>
      <c r="D7289" s="3" t="s">
        <v>776</v>
      </c>
      <c r="E7289" s="2" t="b">
        <f t="shared" ca="1" si="204"/>
        <v>1</v>
      </c>
      <c r="F7289" s="2" cm="1">
        <f t="array" aca="1" ref="F7289" ca="1">IF(G7289&lt;&gt;"",INDIRECT("'"&amp;G7289&amp;"'!"&amp;H7289),"")</f>
        <v>15200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15200</v>
      </c>
      <c r="C7291" s="605">
        <f t="shared" si="205"/>
        <v>-7914</v>
      </c>
      <c r="D7291" s="3" t="s">
        <v>776</v>
      </c>
      <c r="E7291" s="2" t="b">
        <f t="shared" ca="1" si="204"/>
        <v>1</v>
      </c>
      <c r="F7291" s="2" cm="1">
        <f t="array" aca="1" ref="F7291" ca="1">IF(G7291&lt;&gt;"",INDIRECT("'"&amp;G7291&amp;"'!"&amp;H7291),"")</f>
        <v>15200</v>
      </c>
      <c r="G7291" s="1582" t="s">
        <v>6960</v>
      </c>
      <c r="H7291" s="2" t="s">
        <v>5739</v>
      </c>
      <c r="S7291" s="8"/>
    </row>
    <row r="7292" spans="1:19" x14ac:dyDescent="0.2">
      <c r="A7292">
        <v>7287</v>
      </c>
      <c r="B7292" s="8">
        <f>'CashSum 5'!J37</f>
        <v>102877</v>
      </c>
      <c r="C7292" s="605">
        <f t="shared" si="205"/>
        <v>-95590</v>
      </c>
      <c r="D7292" s="3" t="s">
        <v>776</v>
      </c>
      <c r="E7292" s="2" t="b">
        <f t="shared" ca="1" si="204"/>
        <v>1</v>
      </c>
      <c r="F7292" s="2" cm="1">
        <f t="array" aca="1" ref="F7292" ca="1">IF(G7292&lt;&gt;"",INDIRECT("'"&amp;G7292&amp;"'!"&amp;H7292),"")</f>
        <v>102877</v>
      </c>
      <c r="G7292" s="1582" t="s">
        <v>6960</v>
      </c>
      <c r="H7292" s="2" t="s">
        <v>5740</v>
      </c>
      <c r="S7292" s="8"/>
    </row>
    <row r="7293" spans="1:19" x14ac:dyDescent="0.2">
      <c r="A7293">
        <v>7288</v>
      </c>
      <c r="B7293" s="8">
        <f>'CashSum 5'!K29</f>
        <v>0</v>
      </c>
      <c r="C7293" s="605">
        <f t="shared" si="205"/>
        <v>7288</v>
      </c>
      <c r="D7293" s="3" t="s">
        <v>776</v>
      </c>
      <c r="E7293" s="2" t="b">
        <f t="shared" ca="1" si="204"/>
        <v>1</v>
      </c>
      <c r="F7293" s="2" cm="1">
        <f t="array" aca="1" ref="F7293" ca="1">IF(G7293&lt;&gt;"",INDIRECT("'"&amp;G7293&amp;"'!"&amp;H7293),"")</f>
        <v>0</v>
      </c>
      <c r="G7293" s="1582" t="s">
        <v>6960</v>
      </c>
      <c r="H7293" s="2" t="s">
        <v>5861</v>
      </c>
      <c r="S7293" s="8"/>
    </row>
    <row r="7294" spans="1:19" x14ac:dyDescent="0.2">
      <c r="A7294">
        <v>7289</v>
      </c>
      <c r="B7294" s="8">
        <f>'CashSum 5'!K30</f>
        <v>0</v>
      </c>
      <c r="C7294" s="605">
        <f t="shared" si="205"/>
        <v>7289</v>
      </c>
      <c r="D7294" s="3" t="s">
        <v>776</v>
      </c>
      <c r="E7294" s="2" t="b">
        <f t="shared" ca="1" si="204"/>
        <v>1</v>
      </c>
      <c r="F7294" s="2" cm="1">
        <f t="array" aca="1" ref="F7294" ca="1">IF(G7294&lt;&gt;"",INDIRECT("'"&amp;G7294&amp;"'!"&amp;H7294),"")</f>
        <v>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0</v>
      </c>
      <c r="C7296" s="605">
        <f t="shared" si="205"/>
        <v>7291</v>
      </c>
      <c r="D7296" s="3" t="s">
        <v>776</v>
      </c>
      <c r="E7296" s="2" t="b">
        <f t="shared" ca="1" si="204"/>
        <v>1</v>
      </c>
      <c r="F7296" s="2" cm="1">
        <f t="array" aca="1" ref="F7296" ca="1">IF(G7296&lt;&gt;"",INDIRECT("'"&amp;G7296&amp;"'!"&amp;H7296),"")</f>
        <v>0</v>
      </c>
      <c r="G7296" s="1582" t="s">
        <v>6960</v>
      </c>
      <c r="H7296" s="2" t="s">
        <v>5865</v>
      </c>
      <c r="S7296" s="8"/>
    </row>
    <row r="7297" spans="1:19" x14ac:dyDescent="0.2">
      <c r="A7297">
        <v>7292</v>
      </c>
      <c r="B7297" s="8">
        <f>'CashSum 5'!K33</f>
        <v>0</v>
      </c>
      <c r="C7297" s="605">
        <f t="shared" si="205"/>
        <v>7292</v>
      </c>
      <c r="D7297" s="3" t="s">
        <v>776</v>
      </c>
      <c r="E7297" s="2" t="b">
        <f t="shared" ca="1" si="204"/>
        <v>1</v>
      </c>
      <c r="F7297" s="2" cm="1">
        <f t="array" aca="1" ref="F7297" ca="1">IF(G7297&lt;&gt;"",INDIRECT("'"&amp;G7297&amp;"'!"&amp;H7297),"")</f>
        <v>0</v>
      </c>
      <c r="G7297" s="1582" t="s">
        <v>6960</v>
      </c>
      <c r="H7297" s="2" t="s">
        <v>6408</v>
      </c>
      <c r="S7297" s="8"/>
    </row>
    <row r="7298" spans="1:19" x14ac:dyDescent="0.2">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6960</v>
      </c>
      <c r="H7300" s="2" t="s">
        <v>5266</v>
      </c>
      <c r="S7300" s="8"/>
    </row>
    <row r="7301" spans="1:19" x14ac:dyDescent="0.2">
      <c r="A7301">
        <v>7296</v>
      </c>
      <c r="B7301" s="8">
        <f>'CashSum 5'!K37</f>
        <v>0</v>
      </c>
      <c r="C7301" s="605">
        <f t="shared" si="207"/>
        <v>7296</v>
      </c>
      <c r="D7301" s="3" t="s">
        <v>776</v>
      </c>
      <c r="E7301" s="2" t="b">
        <f t="shared" ca="1" si="206"/>
        <v>1</v>
      </c>
      <c r="F7301" s="2" cm="1">
        <f t="array" aca="1" ref="F7301" ca="1">IF(G7301&lt;&gt;"",INDIRECT("'"&amp;G7301&amp;"'!"&amp;H7301),"")</f>
        <v>0</v>
      </c>
      <c r="G7301" s="1582" t="s">
        <v>6960</v>
      </c>
      <c r="H7301" s="2" t="s">
        <v>5267</v>
      </c>
      <c r="S7301" s="8"/>
    </row>
    <row r="7302" spans="1:19" x14ac:dyDescent="0.2">
      <c r="A7302">
        <v>7297</v>
      </c>
      <c r="B7302" s="8">
        <f>'EstRev 6-11'!C82</f>
        <v>0</v>
      </c>
      <c r="C7302" s="605">
        <f t="shared" si="207"/>
        <v>7297</v>
      </c>
      <c r="D7302" s="3" t="s">
        <v>777</v>
      </c>
      <c r="E7302" s="2" t="b">
        <f t="shared" ca="1" si="206"/>
        <v>1</v>
      </c>
      <c r="F7302" s="2" cm="1">
        <f t="array" aca="1" ref="F7302" ca="1">IF(G7302&lt;&gt;"",INDIRECT("'"&amp;G7302&amp;"'!"&amp;H7302),"")</f>
        <v>0</v>
      </c>
      <c r="G7302" s="1582" t="s">
        <v>6962</v>
      </c>
      <c r="H7302" s="2" t="s">
        <v>6409</v>
      </c>
      <c r="S7302" s="8"/>
    </row>
    <row r="7303" spans="1:19" x14ac:dyDescent="0.2">
      <c r="A7303">
        <v>7298</v>
      </c>
      <c r="B7303" s="8">
        <f>'EstRev 6-11'!C84</f>
        <v>101490</v>
      </c>
      <c r="C7303" s="605">
        <f t="shared" si="207"/>
        <v>-94192</v>
      </c>
      <c r="D7303" s="3" t="s">
        <v>777</v>
      </c>
      <c r="E7303" s="2" t="b">
        <f t="shared" ca="1" si="206"/>
        <v>1</v>
      </c>
      <c r="F7303" s="2" cm="1">
        <f t="array" aca="1" ref="F7303" ca="1">IF(G7303&lt;&gt;"",INDIRECT("'"&amp;G7303&amp;"'!"&amp;H7303),"")</f>
        <v>101490</v>
      </c>
      <c r="G7303" s="1582" t="s">
        <v>6962</v>
      </c>
      <c r="H7303" s="2" t="s">
        <v>6410</v>
      </c>
      <c r="S7303" s="8"/>
    </row>
    <row r="7304" spans="1:19" x14ac:dyDescent="0.2">
      <c r="A7304">
        <v>7299</v>
      </c>
      <c r="B7304" s="8">
        <f>'EstRev 6-11'!C112</f>
        <v>5337244</v>
      </c>
      <c r="C7304" s="605">
        <f t="shared" si="207"/>
        <v>-5329945</v>
      </c>
      <c r="D7304" s="3" t="s">
        <v>777</v>
      </c>
      <c r="E7304" s="2" t="b">
        <f t="shared" ca="1" si="206"/>
        <v>1</v>
      </c>
      <c r="F7304" s="2" cm="1">
        <f t="array" aca="1" ref="F7304" ca="1">IF(G7304&lt;&gt;"",INDIRECT("'"&amp;G7304&amp;"'!"&amp;H7304),"")</f>
        <v>5337244</v>
      </c>
      <c r="G7304" s="1582" t="s">
        <v>6962</v>
      </c>
      <c r="H7304" s="2" t="s">
        <v>6411</v>
      </c>
      <c r="S7304" s="8"/>
    </row>
    <row r="7305" spans="1:19" x14ac:dyDescent="0.2">
      <c r="A7305">
        <v>7300</v>
      </c>
      <c r="B7305" s="8">
        <f>'EstExp 12-20'!H33</f>
        <v>0</v>
      </c>
      <c r="C7305" s="605">
        <f t="shared" si="207"/>
        <v>7300</v>
      </c>
      <c r="D7305" s="3" t="s">
        <v>786</v>
      </c>
      <c r="E7305" s="2" t="b">
        <f t="shared" ca="1" si="206"/>
        <v>1</v>
      </c>
      <c r="F7305" s="2" cm="1">
        <f t="array" aca="1" ref="F7305" ca="1">IF(G7305&lt;&gt;"",INDIRECT("'"&amp;G7305&amp;"'!"&amp;H7305),"")</f>
        <v>0</v>
      </c>
      <c r="G7305" s="1582" t="s">
        <v>6961</v>
      </c>
      <c r="H7305" s="2" t="s">
        <v>6399</v>
      </c>
      <c r="S7305" s="8"/>
    </row>
    <row r="7306" spans="1:19" x14ac:dyDescent="0.2">
      <c r="A7306">
        <v>7301</v>
      </c>
      <c r="B7306" s="8">
        <f>'EstExp 12-20'!K33</f>
        <v>0</v>
      </c>
      <c r="C7306" s="605">
        <f t="shared" si="207"/>
        <v>7301</v>
      </c>
      <c r="D7306" s="3" t="s">
        <v>786</v>
      </c>
      <c r="E7306" s="2" t="b">
        <f t="shared" ca="1" si="206"/>
        <v>1</v>
      </c>
      <c r="F7306" s="2" cm="1">
        <f t="array" aca="1" ref="F7306" ca="1">IF(G7306&lt;&gt;"",INDIRECT("'"&amp;G7306&amp;"'!"&amp;H7306),"")</f>
        <v>0</v>
      </c>
      <c r="G7306" s="1582" t="s">
        <v>6961</v>
      </c>
      <c r="H7306" s="2" t="s">
        <v>6408</v>
      </c>
      <c r="S7306" s="8"/>
    </row>
    <row r="7307" spans="1:19" x14ac:dyDescent="0.2">
      <c r="A7307">
        <v>7302</v>
      </c>
      <c r="B7307" s="8">
        <f>'EstExp 12-20'!C35</f>
        <v>4223247</v>
      </c>
      <c r="C7307" s="605">
        <f t="shared" si="207"/>
        <v>-4215945</v>
      </c>
      <c r="D7307" s="3" t="s">
        <v>786</v>
      </c>
      <c r="E7307" s="2" t="b">
        <f t="shared" ca="1" si="206"/>
        <v>1</v>
      </c>
      <c r="F7307" s="2" cm="1">
        <f t="array" aca="1" ref="F7307" ca="1">IF(G7307&lt;&gt;"",INDIRECT("'"&amp;G7307&amp;"'!"&amp;H7307),"")</f>
        <v>4223247</v>
      </c>
      <c r="G7307" s="1582" t="s">
        <v>6961</v>
      </c>
      <c r="H7307" s="2" t="s">
        <v>4521</v>
      </c>
      <c r="S7307" s="8"/>
    </row>
    <row r="7308" spans="1:19" x14ac:dyDescent="0.2">
      <c r="A7308">
        <v>7303</v>
      </c>
      <c r="B7308" s="8">
        <f>'EstExp 12-20'!D35</f>
        <v>728902</v>
      </c>
      <c r="C7308" s="605">
        <f t="shared" si="207"/>
        <v>-721599</v>
      </c>
      <c r="D7308" s="3" t="s">
        <v>786</v>
      </c>
      <c r="E7308" s="2" t="b">
        <f t="shared" ca="1" si="206"/>
        <v>1</v>
      </c>
      <c r="F7308" s="2" cm="1">
        <f t="array" aca="1" ref="F7308" ca="1">IF(G7308&lt;&gt;"",INDIRECT("'"&amp;G7308&amp;"'!"&amp;H7308),"")</f>
        <v>728902</v>
      </c>
      <c r="G7308" s="1582" t="s">
        <v>6961</v>
      </c>
      <c r="H7308" s="2" t="s">
        <v>5198</v>
      </c>
      <c r="S7308" s="8"/>
    </row>
    <row r="7309" spans="1:19" x14ac:dyDescent="0.2">
      <c r="A7309">
        <v>7304</v>
      </c>
      <c r="B7309" s="8">
        <f>'EstExp 12-20'!E35</f>
        <v>33560</v>
      </c>
      <c r="C7309" s="605">
        <f t="shared" si="207"/>
        <v>-26256</v>
      </c>
      <c r="D7309" s="3" t="s">
        <v>786</v>
      </c>
      <c r="E7309" s="2" t="b">
        <f t="shared" ca="1" si="206"/>
        <v>1</v>
      </c>
      <c r="F7309" s="2" cm="1">
        <f t="array" aca="1" ref="F7309" ca="1">IF(G7309&lt;&gt;"",INDIRECT("'"&amp;G7309&amp;"'!"&amp;H7309),"")</f>
        <v>33560</v>
      </c>
      <c r="G7309" s="1582" t="s">
        <v>6961</v>
      </c>
      <c r="H7309" s="2" t="s">
        <v>5201</v>
      </c>
      <c r="S7309" s="8"/>
    </row>
    <row r="7310" spans="1:19" x14ac:dyDescent="0.2">
      <c r="A7310">
        <v>7305</v>
      </c>
      <c r="B7310" s="8">
        <f>'EstExp 12-20'!F35</f>
        <v>190764</v>
      </c>
      <c r="C7310" s="605">
        <f t="shared" si="207"/>
        <v>-183459</v>
      </c>
      <c r="D7310" s="3" t="s">
        <v>786</v>
      </c>
      <c r="E7310" s="2" t="b">
        <f t="shared" ca="1" si="206"/>
        <v>1</v>
      </c>
      <c r="F7310" s="2" cm="1">
        <f t="array" aca="1" ref="F7310" ca="1">IF(G7310&lt;&gt;"",INDIRECT("'"&amp;G7310&amp;"'!"&amp;H7310),"")</f>
        <v>190764</v>
      </c>
      <c r="G7310" s="1582" t="s">
        <v>6961</v>
      </c>
      <c r="H7310" s="2" t="s">
        <v>5202</v>
      </c>
      <c r="S7310" s="8"/>
    </row>
    <row r="7311" spans="1:19" x14ac:dyDescent="0.2">
      <c r="A7311">
        <v>7306</v>
      </c>
      <c r="B7311" s="8">
        <f>'EstExp 12-20'!G35</f>
        <v>230000</v>
      </c>
      <c r="C7311" s="605">
        <f t="shared" si="207"/>
        <v>-222694</v>
      </c>
      <c r="D7311" s="3" t="s">
        <v>786</v>
      </c>
      <c r="E7311" s="2" t="b">
        <f t="shared" ca="1" si="206"/>
        <v>1</v>
      </c>
      <c r="F7311" s="2" cm="1">
        <f t="array" aca="1" ref="F7311" ca="1">IF(G7311&lt;&gt;"",INDIRECT("'"&amp;G7311&amp;"'!"&amp;H7311),"")</f>
        <v>230000</v>
      </c>
      <c r="G7311" s="1582" t="s">
        <v>6961</v>
      </c>
      <c r="H7311" s="2" t="s">
        <v>6396</v>
      </c>
      <c r="S7311" s="8"/>
    </row>
    <row r="7312" spans="1:19" x14ac:dyDescent="0.2">
      <c r="A7312">
        <v>7307</v>
      </c>
      <c r="B7312" s="8">
        <f>'EstExp 12-20'!H35</f>
        <v>525500</v>
      </c>
      <c r="C7312" s="605">
        <f t="shared" si="207"/>
        <v>-518193</v>
      </c>
      <c r="D7312" s="3" t="s">
        <v>786</v>
      </c>
      <c r="E7312" s="2" t="b">
        <f t="shared" ca="1" si="206"/>
        <v>1</v>
      </c>
      <c r="F7312" s="2" cm="1">
        <f t="array" aca="1" ref="F7312" ca="1">IF(G7312&lt;&gt;"",INDIRECT("'"&amp;G7312&amp;"'!"&amp;H7312),"")</f>
        <v>525500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5931973</v>
      </c>
      <c r="C7314" s="605">
        <f t="shared" si="207"/>
        <v>-5924664</v>
      </c>
      <c r="D7314" s="3" t="s">
        <v>786</v>
      </c>
      <c r="E7314" s="2" t="b">
        <f t="shared" ca="1" si="206"/>
        <v>1</v>
      </c>
      <c r="F7314" s="2" cm="1">
        <f t="array" aca="1" ref="F7314" ca="1">IF(G7314&lt;&gt;"",INDIRECT("'"&amp;G7314&amp;"'!"&amp;H7314),"")</f>
        <v>5931973</v>
      </c>
      <c r="G7314" s="1582" t="s">
        <v>6961</v>
      </c>
      <c r="H7314" s="2" t="s">
        <v>5265</v>
      </c>
      <c r="S7314" s="8"/>
    </row>
    <row r="7315" spans="1:19" x14ac:dyDescent="0.2">
      <c r="A7315">
        <v>7310</v>
      </c>
      <c r="B7315" s="8">
        <f>'EstExp 12-20'!C117</f>
        <v>5860494</v>
      </c>
      <c r="C7315" s="605">
        <f t="shared" si="207"/>
        <v>-5853184</v>
      </c>
      <c r="D7315" s="3" t="s">
        <v>786</v>
      </c>
      <c r="E7315" s="2" t="b">
        <f t="shared" ca="1" si="206"/>
        <v>1</v>
      </c>
      <c r="F7315" s="2" cm="1">
        <f t="array" aca="1" ref="F7315" ca="1">IF(G7315&lt;&gt;"",INDIRECT("'"&amp;G7315&amp;"'!"&amp;H7315),"")</f>
        <v>5860494</v>
      </c>
      <c r="G7315" s="1582" t="s">
        <v>6961</v>
      </c>
      <c r="H7315" s="2" t="s">
        <v>5508</v>
      </c>
      <c r="S7315" s="8"/>
    </row>
    <row r="7316" spans="1:19" x14ac:dyDescent="0.2">
      <c r="A7316">
        <v>7311</v>
      </c>
      <c r="B7316" s="8">
        <f>'EstExp 12-20'!D117</f>
        <v>1117090</v>
      </c>
      <c r="C7316" s="605">
        <f t="shared" si="207"/>
        <v>-1109779</v>
      </c>
      <c r="D7316" s="3" t="s">
        <v>786</v>
      </c>
      <c r="E7316" s="2" t="b">
        <f t="shared" ca="1" si="206"/>
        <v>1</v>
      </c>
      <c r="F7316" s="2" cm="1">
        <f t="array" aca="1" ref="F7316" ca="1">IF(G7316&lt;&gt;"",INDIRECT("'"&amp;G7316&amp;"'!"&amp;H7316),"")</f>
        <v>1117090</v>
      </c>
      <c r="G7316" s="1582" t="s">
        <v>6961</v>
      </c>
      <c r="H7316" s="2" t="s">
        <v>5571</v>
      </c>
      <c r="S7316" s="8"/>
    </row>
    <row r="7317" spans="1:19" x14ac:dyDescent="0.2">
      <c r="A7317">
        <v>7312</v>
      </c>
      <c r="B7317" s="8">
        <f>'EstExp 12-20'!E117</f>
        <v>948977</v>
      </c>
      <c r="C7317" s="605">
        <f t="shared" si="207"/>
        <v>-941665</v>
      </c>
      <c r="D7317" s="3" t="s">
        <v>786</v>
      </c>
      <c r="E7317" s="2" t="b">
        <f t="shared" ca="1" si="206"/>
        <v>1</v>
      </c>
      <c r="F7317" s="2" cm="1">
        <f t="array" aca="1" ref="F7317" ca="1">IF(G7317&lt;&gt;"",INDIRECT("'"&amp;G7317&amp;"'!"&amp;H7317),"")</f>
        <v>948977</v>
      </c>
      <c r="G7317" s="1582" t="s">
        <v>6961</v>
      </c>
      <c r="H7317" s="2" t="s">
        <v>6338</v>
      </c>
      <c r="S7317" s="8"/>
    </row>
    <row r="7318" spans="1:19" x14ac:dyDescent="0.2">
      <c r="A7318">
        <v>7313</v>
      </c>
      <c r="B7318" s="8">
        <f>'EstExp 12-20'!F117</f>
        <v>591314</v>
      </c>
      <c r="C7318" s="605">
        <f t="shared" si="207"/>
        <v>-584001</v>
      </c>
      <c r="D7318" s="3" t="s">
        <v>786</v>
      </c>
      <c r="E7318" s="2" t="b">
        <f t="shared" ca="1" si="206"/>
        <v>1</v>
      </c>
      <c r="F7318" s="2" cm="1">
        <f t="array" aca="1" ref="F7318" ca="1">IF(G7318&lt;&gt;"",INDIRECT("'"&amp;G7318&amp;"'!"&amp;H7318),"")</f>
        <v>591314</v>
      </c>
      <c r="G7318" s="1582" t="s">
        <v>6961</v>
      </c>
      <c r="H7318" s="2" t="s">
        <v>5623</v>
      </c>
      <c r="S7318" s="8"/>
    </row>
    <row r="7319" spans="1:19" x14ac:dyDescent="0.2">
      <c r="A7319">
        <v>7314</v>
      </c>
      <c r="B7319" s="8">
        <f>'EstExp 12-20'!G117</f>
        <v>295500</v>
      </c>
      <c r="C7319" s="605">
        <f t="shared" si="207"/>
        <v>-288186</v>
      </c>
      <c r="D7319" s="3" t="s">
        <v>786</v>
      </c>
      <c r="E7319" s="2" t="b">
        <f t="shared" ca="1" si="206"/>
        <v>1</v>
      </c>
      <c r="F7319" s="2" cm="1">
        <f t="array" aca="1" ref="F7319" ca="1">IF(G7319&lt;&gt;"",INDIRECT("'"&amp;G7319&amp;"'!"&amp;H7319),"")</f>
        <v>295500</v>
      </c>
      <c r="G7319" s="1582" t="s">
        <v>6961</v>
      </c>
      <c r="H7319" s="2" t="s">
        <v>5659</v>
      </c>
      <c r="S7319" s="8"/>
    </row>
    <row r="7320" spans="1:19" x14ac:dyDescent="0.2">
      <c r="A7320">
        <v>7315</v>
      </c>
      <c r="B7320" s="8">
        <f>'EstExp 12-20'!H117</f>
        <v>844000</v>
      </c>
      <c r="C7320" s="605">
        <f t="shared" si="207"/>
        <v>-836685</v>
      </c>
      <c r="D7320" s="3" t="s">
        <v>786</v>
      </c>
      <c r="E7320" s="2" t="b">
        <f t="shared" ca="1" si="206"/>
        <v>1</v>
      </c>
      <c r="F7320" s="2" cm="1">
        <f t="array" aca="1" ref="F7320" ca="1">IF(G7320&lt;&gt;"",INDIRECT("'"&amp;G7320&amp;"'!"&amp;H7320),"")</f>
        <v>844000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9657375</v>
      </c>
      <c r="C7323" s="605">
        <f t="shared" si="207"/>
        <v>-9650057</v>
      </c>
      <c r="D7323" s="3" t="s">
        <v>786</v>
      </c>
      <c r="E7323" s="2" t="b">
        <f t="shared" ca="1" si="206"/>
        <v>1</v>
      </c>
      <c r="F7323" s="2" cm="1">
        <f t="array" aca="1" ref="F7323" ca="1">IF(G7323&lt;&gt;"",INDIRECT("'"&amp;G7323&amp;"'!"&amp;H7323),"")</f>
        <v>9657375</v>
      </c>
      <c r="G7323" s="1582" t="s">
        <v>6961</v>
      </c>
      <c r="H7323" s="2" t="s">
        <v>6384</v>
      </c>
      <c r="S7323" s="8"/>
    </row>
    <row r="7324" spans="1:19" x14ac:dyDescent="0.2">
      <c r="A7324">
        <v>7319</v>
      </c>
      <c r="B7324" s="8">
        <f>'EstExp 12-20'!K119</f>
        <v>114105</v>
      </c>
      <c r="C7324" s="605">
        <f t="shared" si="207"/>
        <v>-106786</v>
      </c>
      <c r="D7324" s="3" t="s">
        <v>786</v>
      </c>
      <c r="E7324" s="2" t="b">
        <f t="shared" ca="1" si="206"/>
        <v>1</v>
      </c>
      <c r="F7324" s="2" cm="1">
        <f t="array" aca="1" ref="F7324" ca="1">IF(G7324&lt;&gt;"",INDIRECT("'"&amp;G7324&amp;"'!"&amp;H7324),"")</f>
        <v>114105</v>
      </c>
      <c r="G7324" s="1582" t="s">
        <v>6961</v>
      </c>
      <c r="H7324" s="2" t="s">
        <v>6412</v>
      </c>
      <c r="S7324" s="8"/>
    </row>
    <row r="7325" spans="1:19" x14ac:dyDescent="0.2">
      <c r="A7325">
        <v>7320</v>
      </c>
      <c r="B7325" s="8">
        <f>'EstExp 12-20'!C316</f>
        <v>0</v>
      </c>
      <c r="C7325" s="605">
        <f t="shared" si="207"/>
        <v>7320</v>
      </c>
      <c r="D7325" s="3" t="s">
        <v>786</v>
      </c>
      <c r="E7325" s="2" t="b">
        <f t="shared" ca="1" si="206"/>
        <v>1</v>
      </c>
      <c r="F7325" s="2" cm="1">
        <f t="array" aca="1" ref="F7325" ca="1">IF(G7325&lt;&gt;"",INDIRECT("'"&amp;G7325&amp;"'!"&amp;H7325),"")</f>
        <v>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0</v>
      </c>
      <c r="C7339" s="605">
        <f t="shared" si="207"/>
        <v>7334</v>
      </c>
      <c r="D7339" s="3" t="s">
        <v>786</v>
      </c>
      <c r="E7339" s="2" t="b">
        <f t="shared" ca="1" si="206"/>
        <v>1</v>
      </c>
      <c r="F7339" s="2" cm="1">
        <f t="array" aca="1" ref="F7339" ca="1">IF(G7339&lt;&gt;"",INDIRECT("'"&amp;G7339&amp;"'!"&amp;H7339),"")</f>
        <v>0</v>
      </c>
      <c r="G7339" s="1582" t="s">
        <v>6961</v>
      </c>
      <c r="H7339" s="2" t="s">
        <v>6427</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6961</v>
      </c>
      <c r="H7358" s="2" t="s">
        <v>6446</v>
      </c>
      <c r="S7358" s="8"/>
    </row>
    <row r="7359" spans="1:19" x14ac:dyDescent="0.2">
      <c r="A7359">
        <v>7354</v>
      </c>
      <c r="B7359" s="8">
        <f>'EstExp 12-20'!C374</f>
        <v>0</v>
      </c>
      <c r="C7359" s="605">
        <f t="shared" si="207"/>
        <v>7354</v>
      </c>
      <c r="D7359" s="3" t="s">
        <v>786</v>
      </c>
      <c r="E7359" s="2" t="b">
        <f t="shared" ca="1" si="206"/>
        <v>1</v>
      </c>
      <c r="F7359" s="2" cm="1">
        <f t="array" aca="1" ref="F7359" ca="1">IF(G7359&lt;&gt;"",INDIRECT("'"&amp;G7359&amp;"'!"&amp;H7359),"")</f>
        <v>0</v>
      </c>
      <c r="G7359" s="1582" t="s">
        <v>6961</v>
      </c>
      <c r="H7359" s="2" t="s">
        <v>6447</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6961</v>
      </c>
      <c r="H7360" s="2" t="s">
        <v>6448</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0</v>
      </c>
      <c r="C7363" s="605">
        <f t="shared" si="207"/>
        <v>7358</v>
      </c>
      <c r="D7363" s="3" t="s">
        <v>786</v>
      </c>
      <c r="E7363" s="2" t="b">
        <f t="shared" ca="1" si="208"/>
        <v>1</v>
      </c>
      <c r="F7363" s="2" cm="1">
        <f t="array" aca="1" ref="F7363" ca="1">IF(G7363&lt;&gt;"",INDIRECT("'"&amp;G7363&amp;"'!"&amp;H7363),"")</f>
        <v>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0</v>
      </c>
      <c r="C7371" s="605">
        <f t="shared" si="209"/>
        <v>7366</v>
      </c>
      <c r="D7371" s="3" t="s">
        <v>786</v>
      </c>
      <c r="E7371" s="2" t="b">
        <f t="shared" ca="1" si="208"/>
        <v>1</v>
      </c>
      <c r="F7371" s="2" cm="1">
        <f t="array" aca="1" ref="F7371" ca="1">IF(G7371&lt;&gt;"",INDIRECT("'"&amp;G7371&amp;"'!"&amp;H7371),"")</f>
        <v>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6961</v>
      </c>
      <c r="H7387" s="2" t="s">
        <v>6475</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6961</v>
      </c>
      <c r="H7406" s="2" t="s">
        <v>6494</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0</v>
      </c>
      <c r="C7419" s="605">
        <f t="shared" si="209"/>
        <v>7414</v>
      </c>
      <c r="D7419" s="3" t="s">
        <v>786</v>
      </c>
      <c r="E7419" s="2" t="b">
        <f t="shared" ca="1" si="208"/>
        <v>1</v>
      </c>
      <c r="F7419" s="2" cm="1">
        <f t="array" aca="1" ref="F7419" ca="1">IF(G7419&lt;&gt;"",INDIRECT("'"&amp;G7419&amp;"'!"&amp;H7419),"")</f>
        <v>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15200</v>
      </c>
      <c r="C7468" s="605">
        <f t="shared" si="211"/>
        <v>-7737</v>
      </c>
      <c r="D7468" s="3" t="s">
        <v>786</v>
      </c>
      <c r="E7468" s="2" t="b">
        <f t="shared" ca="1" si="210"/>
        <v>1</v>
      </c>
      <c r="F7468" s="2" cm="1">
        <f t="array" aca="1" ref="F7468" ca="1">IF(G7468&lt;&gt;"",INDIRECT("'"&amp;G7468&amp;"'!"&amp;H7468),"")</f>
        <v>15200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0</v>
      </c>
      <c r="C7753" s="605">
        <f t="shared" si="221"/>
        <v>7748</v>
      </c>
      <c r="D7753" s="3" t="s">
        <v>786</v>
      </c>
      <c r="E7753" s="2" t="b">
        <f t="shared" ca="1" si="220"/>
        <v>1</v>
      </c>
      <c r="F7753" s="2" cm="1">
        <f t="array" aca="1" ref="F7753" ca="1">IF(G7753&lt;&gt;"",INDIRECT("'"&amp;G7753&amp;"'!"&amp;H7753),"")</f>
        <v>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0</v>
      </c>
      <c r="C7781" s="605">
        <f t="shared" si="221"/>
        <v>7776</v>
      </c>
      <c r="D7781" s="3" t="s">
        <v>786</v>
      </c>
      <c r="E7781" s="2" t="b">
        <f t="shared" ca="1" si="220"/>
        <v>1</v>
      </c>
      <c r="F7781" s="2" cm="1">
        <f t="array" aca="1" ref="F7781" ca="1">IF(G7781&lt;&gt;"",INDIRECT("'"&amp;G7781&amp;"'!"&amp;H7781),"")</f>
        <v>0</v>
      </c>
      <c r="G7781" s="1582" t="s">
        <v>6961</v>
      </c>
      <c r="H7781" s="2" t="s">
        <v>6868</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6961</v>
      </c>
      <c r="H7793" s="2" t="s">
        <v>6880</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6961</v>
      </c>
      <c r="H7800" s="2" t="s">
        <v>6887</v>
      </c>
      <c r="S7800" s="8"/>
    </row>
    <row r="7801" spans="1:19" x14ac:dyDescent="0.2">
      <c r="A7801">
        <v>7796</v>
      </c>
      <c r="B7801" s="8">
        <f>'EstExp 12-20'!K374</f>
        <v>0</v>
      </c>
      <c r="C7801" s="605">
        <f t="shared" si="221"/>
        <v>7796</v>
      </c>
      <c r="D7801" s="3" t="s">
        <v>786</v>
      </c>
      <c r="E7801" s="2" t="b">
        <f t="shared" ca="1" si="220"/>
        <v>1</v>
      </c>
      <c r="F7801" s="2" cm="1">
        <f t="array" aca="1" ref="F7801" ca="1">IF(G7801&lt;&gt;"",INDIRECT("'"&amp;G7801&amp;"'!"&amp;H7801),"")</f>
        <v>0</v>
      </c>
      <c r="G7801" s="1582" t="s">
        <v>6961</v>
      </c>
      <c r="H7801" s="2" t="s">
        <v>6888</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6961</v>
      </c>
      <c r="H7802" s="2" t="s">
        <v>6889</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0</v>
      </c>
      <c r="C7805" s="605">
        <f t="shared" si="221"/>
        <v>7800</v>
      </c>
      <c r="D7805" s="3" t="s">
        <v>786</v>
      </c>
      <c r="E7805" s="2" t="b">
        <f t="shared" ca="1" si="220"/>
        <v>1</v>
      </c>
      <c r="F7805" s="2" cm="1">
        <f t="array" aca="1" ref="F7805" ca="1">IF(G7805&lt;&gt;"",INDIRECT("'"&amp;G7805&amp;"'!"&amp;H7805),"")</f>
        <v>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15200</v>
      </c>
      <c r="C7813" s="605">
        <f t="shared" si="223"/>
        <v>-7392</v>
      </c>
      <c r="D7813" s="3" t="s">
        <v>786</v>
      </c>
      <c r="E7813" s="2" t="b">
        <f t="shared" ca="1" si="222"/>
        <v>1</v>
      </c>
      <c r="F7813" s="2" cm="1">
        <f t="array" aca="1" ref="F7813" ca="1">IF(G7813&lt;&gt;"",INDIRECT("'"&amp;G7813&amp;"'!"&amp;H7813),"")</f>
        <v>15200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9771480</v>
      </c>
      <c r="C7843" s="605">
        <f t="shared" si="223"/>
        <v>-9763642</v>
      </c>
      <c r="D7843" s="3" t="s">
        <v>797</v>
      </c>
      <c r="E7843" s="2" t="b">
        <f t="shared" ca="1" si="222"/>
        <v>1</v>
      </c>
      <c r="F7843" s="2" cm="1">
        <f t="array" aca="1" ref="F7843" ca="1">IF(G7843&lt;&gt;"",INDIRECT("'"&amp;G7843&amp;"'!"&amp;H7843),"")</f>
        <v>9771480</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3"/>
  <sheetViews>
    <sheetView showGridLines="0" topLeftCell="B1" zoomScaleNormal="100" workbookViewId="0">
      <selection activeCell="C83" sqref="C83"/>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4982190</v>
      </c>
      <c r="D3" s="187">
        <v>514068</v>
      </c>
      <c r="E3" s="187">
        <v>231837</v>
      </c>
      <c r="F3" s="187">
        <v>351894</v>
      </c>
      <c r="G3" s="187">
        <v>108276</v>
      </c>
      <c r="H3" s="187">
        <v>-2000</v>
      </c>
      <c r="I3" s="187">
        <v>295503</v>
      </c>
      <c r="J3" s="187">
        <v>117727</v>
      </c>
      <c r="K3" s="187">
        <v>0</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5337244</v>
      </c>
      <c r="D5" s="189">
        <f>'EstRev 6-11'!D111</f>
        <v>880823</v>
      </c>
      <c r="E5" s="189">
        <f>'EstRev 6-11'!E111</f>
        <v>453066</v>
      </c>
      <c r="F5" s="189">
        <f>'EstRev 6-11'!F111</f>
        <v>217298</v>
      </c>
      <c r="G5" s="189">
        <f>'EstRev 6-11'!G111</f>
        <v>356060</v>
      </c>
      <c r="H5" s="189">
        <f>'EstRev 6-11'!H111</f>
        <v>0</v>
      </c>
      <c r="I5" s="189">
        <f>'EstRev 6-11'!I111</f>
        <v>69889</v>
      </c>
      <c r="J5" s="189">
        <f>'EstRev 6-11'!J111</f>
        <v>350</v>
      </c>
      <c r="K5" s="189">
        <f>'EstRev 6-11'!K111</f>
        <v>0</v>
      </c>
    </row>
    <row r="6" spans="1:11" s="665" customFormat="1" ht="24" x14ac:dyDescent="0.2">
      <c r="A6" s="668" t="s">
        <v>736</v>
      </c>
      <c r="B6" s="669">
        <v>2000</v>
      </c>
      <c r="C6" s="607">
        <f>'EstRev 6-11'!C117</f>
        <v>100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3277711</v>
      </c>
      <c r="D7" s="189">
        <f>'EstRev 6-11'!D172</f>
        <v>341768</v>
      </c>
      <c r="E7" s="189">
        <f>'EstRev 6-11'!E172</f>
        <v>0</v>
      </c>
      <c r="F7" s="189">
        <f>'EstRev 6-11'!F172</f>
        <v>540476</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1156425</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9771480</v>
      </c>
      <c r="D9" s="192">
        <f t="shared" ref="D9:K9" si="0">SUM(D5:D8)</f>
        <v>1222591</v>
      </c>
      <c r="E9" s="192">
        <f t="shared" si="0"/>
        <v>453066</v>
      </c>
      <c r="F9" s="192">
        <f t="shared" si="0"/>
        <v>757774</v>
      </c>
      <c r="G9" s="192">
        <f t="shared" si="0"/>
        <v>356060</v>
      </c>
      <c r="H9" s="192">
        <f t="shared" si="0"/>
        <v>0</v>
      </c>
      <c r="I9" s="192">
        <f t="shared" si="0"/>
        <v>69889</v>
      </c>
      <c r="J9" s="192">
        <f t="shared" si="0"/>
        <v>350</v>
      </c>
      <c r="K9" s="192">
        <f t="shared" si="0"/>
        <v>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9771480</v>
      </c>
      <c r="D11" s="194">
        <f t="shared" ref="D11:K11" si="1">SUM(D9:D10)</f>
        <v>1222591</v>
      </c>
      <c r="E11" s="194">
        <f t="shared" si="1"/>
        <v>453066</v>
      </c>
      <c r="F11" s="194">
        <f t="shared" si="1"/>
        <v>757774</v>
      </c>
      <c r="G11" s="194">
        <f t="shared" si="1"/>
        <v>356060</v>
      </c>
      <c r="H11" s="194">
        <f t="shared" si="1"/>
        <v>0</v>
      </c>
      <c r="I11" s="194">
        <f t="shared" si="1"/>
        <v>69889</v>
      </c>
      <c r="J11" s="194">
        <f t="shared" si="1"/>
        <v>350</v>
      </c>
      <c r="K11" s="194">
        <f t="shared" si="1"/>
        <v>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5931973</v>
      </c>
      <c r="D13" s="197"/>
      <c r="E13" s="197"/>
      <c r="F13" s="197"/>
      <c r="G13" s="198">
        <f>'EstExp 12-20'!K233</f>
        <v>92734</v>
      </c>
      <c r="H13" s="199"/>
      <c r="I13" s="197"/>
      <c r="J13" s="191">
        <f>'EstExp 12-20'!K344</f>
        <v>0</v>
      </c>
      <c r="K13" s="197"/>
    </row>
    <row r="14" spans="1:11" ht="12.75" customHeight="1" x14ac:dyDescent="0.2">
      <c r="A14" s="670" t="s">
        <v>129</v>
      </c>
      <c r="B14" s="680">
        <v>2000</v>
      </c>
      <c r="C14" s="200">
        <f>'EstExp 12-20'!K76</f>
        <v>3423605</v>
      </c>
      <c r="D14" s="191">
        <f>'EstExp 12-20'!K133</f>
        <v>1186722</v>
      </c>
      <c r="E14" s="201"/>
      <c r="F14" s="191">
        <f>'EstExp 12-20'!K188</f>
        <v>686359</v>
      </c>
      <c r="G14" s="191">
        <f>'EstExp 12-20'!K276</f>
        <v>195595</v>
      </c>
      <c r="H14" s="191">
        <f>'EstExp 12-20'!K300</f>
        <v>0</v>
      </c>
      <c r="I14" s="201"/>
      <c r="J14" s="191">
        <f>'EstExp 12-20'!K387</f>
        <v>15200</v>
      </c>
      <c r="K14" s="191">
        <f>'EstExp 12-20'!K438</f>
        <v>0</v>
      </c>
    </row>
    <row r="15" spans="1:11" ht="12.75" customHeight="1" x14ac:dyDescent="0.2">
      <c r="A15" s="670" t="s">
        <v>516</v>
      </c>
      <c r="B15" s="680">
        <v>3000</v>
      </c>
      <c r="C15" s="200">
        <f>'EstExp 12-20'!K77</f>
        <v>8797</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293000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428960</v>
      </c>
      <c r="F17" s="191">
        <f>'EstExp 12-20'!K212</f>
        <v>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9657375</v>
      </c>
      <c r="D19" s="204">
        <f t="shared" si="2"/>
        <v>1186722</v>
      </c>
      <c r="E19" s="204">
        <f t="shared" si="2"/>
        <v>428960</v>
      </c>
      <c r="F19" s="204">
        <f t="shared" si="2"/>
        <v>686359</v>
      </c>
      <c r="G19" s="204">
        <f>SUM(G13:G18)</f>
        <v>288329</v>
      </c>
      <c r="H19" s="204">
        <f>SUM(H13:H18)</f>
        <v>0</v>
      </c>
      <c r="I19" s="201"/>
      <c r="J19" s="192">
        <f>SUM(J13:J18)</f>
        <v>15200</v>
      </c>
      <c r="K19" s="204">
        <f>SUM(K13:K18)</f>
        <v>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9657375</v>
      </c>
      <c r="D21" s="205">
        <f t="shared" si="4"/>
        <v>1186722</v>
      </c>
      <c r="E21" s="205">
        <f t="shared" si="4"/>
        <v>428960</v>
      </c>
      <c r="F21" s="205">
        <f t="shared" si="4"/>
        <v>686359</v>
      </c>
      <c r="G21" s="205">
        <f t="shared" si="4"/>
        <v>288329</v>
      </c>
      <c r="H21" s="205">
        <f t="shared" si="4"/>
        <v>0</v>
      </c>
      <c r="I21" s="201"/>
      <c r="J21" s="205">
        <f>SUM(J19:J20)</f>
        <v>15200</v>
      </c>
      <c r="K21" s="205">
        <f>SUM(K19:K20)</f>
        <v>0</v>
      </c>
    </row>
    <row r="22" spans="1:11" ht="21.75" customHeight="1" thickTop="1" x14ac:dyDescent="0.2">
      <c r="A22" s="655" t="s">
        <v>449</v>
      </c>
      <c r="B22" s="656"/>
      <c r="C22" s="206">
        <f>C9-C19</f>
        <v>114105</v>
      </c>
      <c r="D22" s="206">
        <f t="shared" ref="D22:K22" si="5">D9-D19</f>
        <v>35869</v>
      </c>
      <c r="E22" s="206">
        <f t="shared" si="5"/>
        <v>24106</v>
      </c>
      <c r="F22" s="206">
        <f t="shared" si="5"/>
        <v>71415</v>
      </c>
      <c r="G22" s="206">
        <f t="shared" si="5"/>
        <v>67731</v>
      </c>
      <c r="H22" s="206">
        <f t="shared" si="5"/>
        <v>0</v>
      </c>
      <c r="I22" s="206">
        <f t="shared" si="5"/>
        <v>69889</v>
      </c>
      <c r="J22" s="206">
        <f t="shared" si="5"/>
        <v>-14850</v>
      </c>
      <c r="K22" s="206">
        <f t="shared" si="5"/>
        <v>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5096295</v>
      </c>
      <c r="D81" s="228">
        <f t="shared" si="9"/>
        <v>549937</v>
      </c>
      <c r="E81" s="228">
        <f>E3+E22+E80</f>
        <v>255943</v>
      </c>
      <c r="F81" s="228">
        <f t="shared" si="9"/>
        <v>423309</v>
      </c>
      <c r="G81" s="228">
        <f t="shared" si="9"/>
        <v>176007</v>
      </c>
      <c r="H81" s="228">
        <f t="shared" si="9"/>
        <v>-2000</v>
      </c>
      <c r="I81" s="228">
        <f t="shared" si="9"/>
        <v>365392</v>
      </c>
      <c r="J81" s="228">
        <f t="shared" si="9"/>
        <v>102877</v>
      </c>
      <c r="K81" s="228">
        <f t="shared" si="9"/>
        <v>0</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52748</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0</v>
      </c>
      <c r="D87" s="571"/>
      <c r="E87" s="571"/>
      <c r="F87" s="571"/>
      <c r="G87" s="571"/>
      <c r="H87" s="571"/>
      <c r="I87" s="571"/>
      <c r="J87" s="571"/>
      <c r="K87" s="571"/>
    </row>
    <row r="88" spans="1:11" ht="27.75" customHeight="1" thickTop="1" thickBot="1" x14ac:dyDescent="0.25">
      <c r="A88" s="655" t="s">
        <v>449</v>
      </c>
      <c r="B88" s="656"/>
      <c r="C88" s="585">
        <f>C85-C87</f>
        <v>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52748</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5034938</v>
      </c>
      <c r="D91" s="664">
        <f>D3</f>
        <v>514068</v>
      </c>
      <c r="E91" s="664">
        <f t="shared" ref="E91:K91" si="10">E3</f>
        <v>231837</v>
      </c>
      <c r="F91" s="664">
        <f t="shared" si="10"/>
        <v>351894</v>
      </c>
      <c r="G91" s="664">
        <f t="shared" si="10"/>
        <v>108276</v>
      </c>
      <c r="H91" s="664">
        <f t="shared" si="10"/>
        <v>-2000</v>
      </c>
      <c r="I91" s="664">
        <f t="shared" si="10"/>
        <v>295503</v>
      </c>
      <c r="J91" s="664">
        <f t="shared" si="10"/>
        <v>117727</v>
      </c>
      <c r="K91" s="664">
        <f t="shared" si="10"/>
        <v>0</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5337244</v>
      </c>
      <c r="D93" s="189">
        <f>D5</f>
        <v>880823</v>
      </c>
      <c r="E93" s="189">
        <f t="shared" ref="E93:K93" si="11">E5</f>
        <v>453066</v>
      </c>
      <c r="F93" s="189">
        <f t="shared" si="11"/>
        <v>217298</v>
      </c>
      <c r="G93" s="189">
        <f t="shared" si="11"/>
        <v>356060</v>
      </c>
      <c r="H93" s="189">
        <f t="shared" si="11"/>
        <v>0</v>
      </c>
      <c r="I93" s="189">
        <f t="shared" si="11"/>
        <v>69889</v>
      </c>
      <c r="J93" s="189">
        <f t="shared" si="11"/>
        <v>350</v>
      </c>
      <c r="K93" s="189">
        <f t="shared" si="11"/>
        <v>0</v>
      </c>
    </row>
    <row r="94" spans="1:11" s="665" customFormat="1" ht="24" x14ac:dyDescent="0.2">
      <c r="A94" s="668" t="s">
        <v>736</v>
      </c>
      <c r="B94" s="669">
        <v>2000</v>
      </c>
      <c r="C94" s="189">
        <f>C6</f>
        <v>100</v>
      </c>
      <c r="D94" s="189">
        <f>D6</f>
        <v>0</v>
      </c>
      <c r="E94" s="190"/>
      <c r="F94" s="189">
        <f>F6</f>
        <v>0</v>
      </c>
      <c r="G94" s="189">
        <f>G6</f>
        <v>0</v>
      </c>
      <c r="H94" s="190"/>
      <c r="I94" s="190"/>
      <c r="J94" s="190"/>
      <c r="K94" s="190"/>
    </row>
    <row r="95" spans="1:11" s="665" customFormat="1" ht="12.75" customHeight="1" x14ac:dyDescent="0.2">
      <c r="A95" s="670" t="s">
        <v>447</v>
      </c>
      <c r="B95" s="669">
        <v>3000</v>
      </c>
      <c r="C95" s="189">
        <f>C7</f>
        <v>3277711</v>
      </c>
      <c r="D95" s="189">
        <f t="shared" ref="D95:K95" si="12">D7</f>
        <v>341768</v>
      </c>
      <c r="E95" s="189">
        <f t="shared" si="12"/>
        <v>0</v>
      </c>
      <c r="F95" s="189">
        <f t="shared" si="12"/>
        <v>540476</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1156425</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9771480</v>
      </c>
      <c r="D97" s="586">
        <f t="shared" ref="D97:K97" si="14">SUM(D93:D96)</f>
        <v>1222591</v>
      </c>
      <c r="E97" s="192">
        <f t="shared" si="14"/>
        <v>453066</v>
      </c>
      <c r="F97" s="192">
        <f t="shared" si="14"/>
        <v>757774</v>
      </c>
      <c r="G97" s="192">
        <f t="shared" si="14"/>
        <v>356060</v>
      </c>
      <c r="H97" s="192">
        <f t="shared" si="14"/>
        <v>0</v>
      </c>
      <c r="I97" s="192">
        <f t="shared" si="14"/>
        <v>69889</v>
      </c>
      <c r="J97" s="192">
        <f t="shared" si="14"/>
        <v>350</v>
      </c>
      <c r="K97" s="192">
        <f t="shared" si="14"/>
        <v>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9771480</v>
      </c>
      <c r="D99" s="194">
        <f t="shared" ref="D99:K99" si="16">SUM(D97:D98)</f>
        <v>1222591</v>
      </c>
      <c r="E99" s="194">
        <f t="shared" si="16"/>
        <v>453066</v>
      </c>
      <c r="F99" s="194">
        <f t="shared" si="16"/>
        <v>757774</v>
      </c>
      <c r="G99" s="194">
        <f t="shared" si="16"/>
        <v>356060</v>
      </c>
      <c r="H99" s="194">
        <f t="shared" si="16"/>
        <v>0</v>
      </c>
      <c r="I99" s="194">
        <f t="shared" si="16"/>
        <v>69889</v>
      </c>
      <c r="J99" s="194">
        <f t="shared" si="16"/>
        <v>350</v>
      </c>
      <c r="K99" s="194">
        <f t="shared" si="16"/>
        <v>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5931973</v>
      </c>
      <c r="D101" s="197"/>
      <c r="E101" s="197"/>
      <c r="F101" s="197"/>
      <c r="G101" s="198">
        <f t="shared" ref="G101:G106" si="17">G13</f>
        <v>92734</v>
      </c>
      <c r="H101" s="199"/>
      <c r="I101" s="197"/>
      <c r="J101" s="198">
        <f>J13</f>
        <v>0</v>
      </c>
      <c r="K101" s="197"/>
    </row>
    <row r="102" spans="1:11" ht="12.75" customHeight="1" x14ac:dyDescent="0.2">
      <c r="A102" s="670" t="s">
        <v>129</v>
      </c>
      <c r="B102" s="680">
        <v>2000</v>
      </c>
      <c r="C102" s="200">
        <f t="shared" ref="C102:D106" si="18">C14</f>
        <v>3423605</v>
      </c>
      <c r="D102" s="200">
        <f t="shared" si="18"/>
        <v>1186722</v>
      </c>
      <c r="E102" s="197"/>
      <c r="F102" s="200">
        <f>F14</f>
        <v>686359</v>
      </c>
      <c r="G102" s="200">
        <f t="shared" si="17"/>
        <v>195595</v>
      </c>
      <c r="H102" s="200">
        <f>H14</f>
        <v>0</v>
      </c>
      <c r="I102" s="197"/>
      <c r="J102" s="200">
        <f>J14</f>
        <v>15200</v>
      </c>
      <c r="K102" s="189">
        <f>K14</f>
        <v>0</v>
      </c>
    </row>
    <row r="103" spans="1:11" ht="12.75" customHeight="1" x14ac:dyDescent="0.2">
      <c r="A103" s="670" t="s">
        <v>516</v>
      </c>
      <c r="B103" s="680">
        <v>3000</v>
      </c>
      <c r="C103" s="200">
        <f t="shared" si="18"/>
        <v>8797</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293000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428960</v>
      </c>
      <c r="F105" s="200">
        <f>F17</f>
        <v>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9657375</v>
      </c>
      <c r="D107" s="204">
        <f t="shared" si="21"/>
        <v>1186722</v>
      </c>
      <c r="E107" s="204">
        <f t="shared" si="21"/>
        <v>428960</v>
      </c>
      <c r="F107" s="204">
        <f t="shared" si="21"/>
        <v>686359</v>
      </c>
      <c r="G107" s="204">
        <f t="shared" si="21"/>
        <v>288329</v>
      </c>
      <c r="H107" s="204">
        <f t="shared" si="21"/>
        <v>0</v>
      </c>
      <c r="I107" s="201"/>
      <c r="J107" s="192">
        <f>SUM(J101:J106)</f>
        <v>15200</v>
      </c>
      <c r="K107" s="204">
        <f>SUM(K101:K106)</f>
        <v>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9657375</v>
      </c>
      <c r="D109" s="205">
        <f t="shared" si="23"/>
        <v>1186722</v>
      </c>
      <c r="E109" s="205">
        <f t="shared" si="23"/>
        <v>428960</v>
      </c>
      <c r="F109" s="205">
        <f t="shared" si="23"/>
        <v>686359</v>
      </c>
      <c r="G109" s="205">
        <f t="shared" si="23"/>
        <v>288329</v>
      </c>
      <c r="H109" s="205">
        <f t="shared" si="23"/>
        <v>0</v>
      </c>
      <c r="I109" s="201"/>
      <c r="J109" s="205">
        <f>SUM(J107:J108)</f>
        <v>15200</v>
      </c>
      <c r="K109" s="205">
        <f>SUM(K107:K108)</f>
        <v>0</v>
      </c>
    </row>
    <row r="110" spans="1:11" ht="21.75" customHeight="1" thickTop="1" x14ac:dyDescent="0.2">
      <c r="A110" s="655" t="s">
        <v>449</v>
      </c>
      <c r="B110" s="656"/>
      <c r="C110" s="206">
        <f>C97-C107</f>
        <v>114105</v>
      </c>
      <c r="D110" s="206">
        <f t="shared" ref="D110:K110" si="24">D97-D107</f>
        <v>35869</v>
      </c>
      <c r="E110" s="206">
        <f t="shared" si="24"/>
        <v>24106</v>
      </c>
      <c r="F110" s="206">
        <f t="shared" si="24"/>
        <v>71415</v>
      </c>
      <c r="G110" s="206">
        <f t="shared" si="24"/>
        <v>67731</v>
      </c>
      <c r="H110" s="206">
        <f t="shared" si="24"/>
        <v>0</v>
      </c>
      <c r="I110" s="206">
        <f t="shared" si="24"/>
        <v>69889</v>
      </c>
      <c r="J110" s="206">
        <f t="shared" si="24"/>
        <v>-14850</v>
      </c>
      <c r="K110" s="206">
        <f t="shared" si="24"/>
        <v>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5149043</v>
      </c>
      <c r="D118" s="703">
        <f t="shared" ref="D118:K118" si="28">D81+D89</f>
        <v>549937</v>
      </c>
      <c r="E118" s="703">
        <f t="shared" si="28"/>
        <v>255943</v>
      </c>
      <c r="F118" s="703">
        <f t="shared" si="28"/>
        <v>423309</v>
      </c>
      <c r="G118" s="703">
        <f t="shared" si="28"/>
        <v>176007</v>
      </c>
      <c r="H118" s="703">
        <f t="shared" si="28"/>
        <v>-2000</v>
      </c>
      <c r="I118" s="703">
        <f t="shared" si="28"/>
        <v>365392</v>
      </c>
      <c r="J118" s="703">
        <f t="shared" si="28"/>
        <v>102877</v>
      </c>
      <c r="K118" s="703">
        <f t="shared" si="28"/>
        <v>0</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5860494</v>
      </c>
      <c r="D124" s="505">
        <f>'EstExp 12-20'!C155</f>
        <v>265661</v>
      </c>
      <c r="E124" s="717"/>
      <c r="F124" s="505">
        <f>'EstExp 12-20'!C214</f>
        <v>193415</v>
      </c>
      <c r="G124" s="718"/>
      <c r="H124" s="505">
        <f>'EstExp 12-20'!C309</f>
        <v>0</v>
      </c>
      <c r="I124" s="717"/>
      <c r="J124" s="505">
        <f>'EstExp 12-20'!C$428</f>
        <v>0</v>
      </c>
      <c r="K124" s="505">
        <f>'EstExp 12-20'!C453</f>
        <v>0</v>
      </c>
      <c r="L124" s="719">
        <f t="shared" ref="L124:L132" si="29">SUM(C124:K124)</f>
        <v>6319570</v>
      </c>
    </row>
    <row r="125" spans="1:14" ht="12" x14ac:dyDescent="0.15">
      <c r="A125" s="715" t="s">
        <v>405</v>
      </c>
      <c r="B125" s="716">
        <v>200</v>
      </c>
      <c r="C125" s="505">
        <f>'EstExp 12-20'!D116</f>
        <v>1117090</v>
      </c>
      <c r="D125" s="505">
        <f>'EstExp 12-20'!D155</f>
        <v>45061</v>
      </c>
      <c r="E125" s="718"/>
      <c r="F125" s="505">
        <f>'EstExp 12-20'!D214</f>
        <v>17194</v>
      </c>
      <c r="G125" s="505">
        <f>'EstExp 12-20'!D292</f>
        <v>288329</v>
      </c>
      <c r="H125" s="505">
        <f>'EstExp 12-20'!D309</f>
        <v>0</v>
      </c>
      <c r="I125" s="717"/>
      <c r="J125" s="505">
        <f>'EstExp 12-20'!D428</f>
        <v>0</v>
      </c>
      <c r="K125" s="505">
        <f>'EstExp 12-20'!D453</f>
        <v>0</v>
      </c>
      <c r="L125" s="719">
        <f t="shared" si="29"/>
        <v>1467674</v>
      </c>
    </row>
    <row r="126" spans="1:14" ht="12" x14ac:dyDescent="0.15">
      <c r="A126" s="715" t="s">
        <v>406</v>
      </c>
      <c r="B126" s="716">
        <v>300</v>
      </c>
      <c r="C126" s="505">
        <f>'EstExp 12-20'!E116</f>
        <v>948977</v>
      </c>
      <c r="D126" s="505">
        <f>'EstExp 12-20'!E155</f>
        <v>277000</v>
      </c>
      <c r="E126" s="505">
        <f>'EstExp 12-20'!E178</f>
        <v>0</v>
      </c>
      <c r="F126" s="505">
        <f>'EstExp 12-20'!E214</f>
        <v>416000</v>
      </c>
      <c r="G126" s="720"/>
      <c r="H126" s="505">
        <f>'EstExp 12-20'!E309</f>
        <v>0</v>
      </c>
      <c r="I126" s="717"/>
      <c r="J126" s="505">
        <f>'EstExp 12-20'!E428</f>
        <v>15200</v>
      </c>
      <c r="K126" s="505">
        <f>'EstExp 12-20'!E453</f>
        <v>0</v>
      </c>
      <c r="L126" s="719">
        <f t="shared" si="29"/>
        <v>1657177</v>
      </c>
    </row>
    <row r="127" spans="1:14" ht="12" x14ac:dyDescent="0.15">
      <c r="A127" s="715" t="s">
        <v>407</v>
      </c>
      <c r="B127" s="716">
        <v>400</v>
      </c>
      <c r="C127" s="505">
        <f>'EstExp 12-20'!F116</f>
        <v>591314</v>
      </c>
      <c r="D127" s="505">
        <f>'EstExp 12-20'!F155</f>
        <v>189500</v>
      </c>
      <c r="E127" s="720"/>
      <c r="F127" s="505">
        <f>'EstExp 12-20'!F214</f>
        <v>59500</v>
      </c>
      <c r="G127" s="717"/>
      <c r="H127" s="505">
        <f>'EstExp 12-20'!F309</f>
        <v>0</v>
      </c>
      <c r="I127" s="717"/>
      <c r="J127" s="505">
        <f>'EstExp 12-20'!F428</f>
        <v>0</v>
      </c>
      <c r="K127" s="505">
        <f>'EstExp 12-20'!F453</f>
        <v>0</v>
      </c>
      <c r="L127" s="719">
        <f t="shared" si="29"/>
        <v>840314</v>
      </c>
    </row>
    <row r="128" spans="1:14" ht="12" x14ac:dyDescent="0.15">
      <c r="A128" s="715" t="s">
        <v>408</v>
      </c>
      <c r="B128" s="716">
        <v>500</v>
      </c>
      <c r="C128" s="505">
        <f>'EstExp 12-20'!G116</f>
        <v>295500</v>
      </c>
      <c r="D128" s="505">
        <f>'EstExp 12-20'!G155</f>
        <v>409500</v>
      </c>
      <c r="E128" s="718"/>
      <c r="F128" s="505">
        <f>'EstExp 12-20'!G214</f>
        <v>0</v>
      </c>
      <c r="G128" s="718"/>
      <c r="H128" s="505">
        <f>'EstExp 12-20'!G309</f>
        <v>0</v>
      </c>
      <c r="I128" s="717"/>
      <c r="J128" s="505">
        <f>'EstExp 12-20'!G428</f>
        <v>0</v>
      </c>
      <c r="K128" s="505">
        <f>'EstExp 12-20'!G453</f>
        <v>0</v>
      </c>
      <c r="L128" s="719">
        <f t="shared" si="29"/>
        <v>705000</v>
      </c>
    </row>
    <row r="129" spans="1:12" ht="12" x14ac:dyDescent="0.15">
      <c r="A129" s="715" t="s">
        <v>409</v>
      </c>
      <c r="B129" s="716">
        <v>600</v>
      </c>
      <c r="C129" s="505">
        <f>'EstExp 12-20'!H116</f>
        <v>844000</v>
      </c>
      <c r="D129" s="505">
        <f>'EstExp 12-20'!H155</f>
        <v>0</v>
      </c>
      <c r="E129" s="505">
        <f>'EstExp 12-20'!H178</f>
        <v>428960</v>
      </c>
      <c r="F129" s="505">
        <f>'EstExp 12-20'!H214</f>
        <v>250</v>
      </c>
      <c r="G129" s="505">
        <f>'EstExp 12-20'!H292</f>
        <v>0</v>
      </c>
      <c r="H129" s="505">
        <f>'EstExp 12-20'!H309</f>
        <v>0</v>
      </c>
      <c r="I129" s="717"/>
      <c r="J129" s="505">
        <f>'EstExp 12-20'!H428</f>
        <v>0</v>
      </c>
      <c r="K129" s="505">
        <f>'EstExp 12-20'!H453</f>
        <v>0</v>
      </c>
      <c r="L129" s="719">
        <f t="shared" si="29"/>
        <v>1273210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9657375</v>
      </c>
      <c r="D132" s="507">
        <f t="shared" si="30"/>
        <v>1186722</v>
      </c>
      <c r="E132" s="507">
        <f t="shared" si="30"/>
        <v>428960</v>
      </c>
      <c r="F132" s="507">
        <f t="shared" si="30"/>
        <v>686359</v>
      </c>
      <c r="G132" s="507">
        <f t="shared" si="30"/>
        <v>288329</v>
      </c>
      <c r="H132" s="507">
        <f t="shared" si="30"/>
        <v>0</v>
      </c>
      <c r="I132" s="725"/>
      <c r="J132" s="507">
        <f>SUM(J124:J131)</f>
        <v>15200</v>
      </c>
      <c r="K132" s="507">
        <f>SUM(K124:K131)</f>
        <v>0</v>
      </c>
      <c r="L132" s="726">
        <f t="shared" si="29"/>
        <v>12262945</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8"/>
  <sheetViews>
    <sheetView showGridLines="0" zoomScaleNormal="100" workbookViewId="0">
      <selection activeCell="C23" sqref="C23"/>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251">
        <v>4982190</v>
      </c>
      <c r="D3" s="251">
        <v>514068</v>
      </c>
      <c r="E3" s="251">
        <v>231837</v>
      </c>
      <c r="F3" s="251">
        <v>351894</v>
      </c>
      <c r="G3" s="251">
        <v>108276</v>
      </c>
      <c r="H3" s="251">
        <v>0</v>
      </c>
      <c r="I3" s="251">
        <v>295503</v>
      </c>
      <c r="J3" s="251">
        <v>117727</v>
      </c>
      <c r="K3" s="251">
        <v>0</v>
      </c>
    </row>
    <row r="4" spans="1:11" s="653" customFormat="1" ht="14.25" customHeight="1" thickBot="1" x14ac:dyDescent="0.25">
      <c r="A4" s="1734" t="s">
        <v>687</v>
      </c>
      <c r="B4" s="1735"/>
      <c r="C4" s="255">
        <f>'BudgetSum 2-4'!C9+'BudgetSum 2-4'!C46</f>
        <v>9771480</v>
      </c>
      <c r="D4" s="255">
        <f>'BudgetSum 2-4'!D9+'BudgetSum 2-4'!D46</f>
        <v>1222591</v>
      </c>
      <c r="E4" s="255">
        <f>'BudgetSum 2-4'!E9+'BudgetSum 2-4'!E46</f>
        <v>453066</v>
      </c>
      <c r="F4" s="255">
        <f>'BudgetSum 2-4'!F9+'BudgetSum 2-4'!F46</f>
        <v>757774</v>
      </c>
      <c r="G4" s="255">
        <f>'BudgetSum 2-4'!G9+'BudgetSum 2-4'!G46</f>
        <v>356060</v>
      </c>
      <c r="H4" s="255">
        <f>'BudgetSum 2-4'!H9+'BudgetSum 2-4'!H46</f>
        <v>0</v>
      </c>
      <c r="I4" s="255">
        <f>'BudgetSum 2-4'!I9+'BudgetSum 2-4'!I46</f>
        <v>69889</v>
      </c>
      <c r="J4" s="255">
        <f>'BudgetSum 2-4'!J9+'BudgetSum 2-4'!J46</f>
        <v>350</v>
      </c>
      <c r="K4" s="255">
        <f>'BudgetSum 2-4'!K9+'BudgetSum 2-4'!K46</f>
        <v>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36" t="s">
        <v>47</v>
      </c>
      <c r="B11" s="1737"/>
      <c r="C11" s="256">
        <f>SUM(C4,C10)</f>
        <v>9771480</v>
      </c>
      <c r="D11" s="256">
        <f t="shared" ref="D11:K11" si="1">SUM(D4,D10)</f>
        <v>1222591</v>
      </c>
      <c r="E11" s="256">
        <f t="shared" si="1"/>
        <v>453066</v>
      </c>
      <c r="F11" s="256">
        <f t="shared" si="1"/>
        <v>757774</v>
      </c>
      <c r="G11" s="256">
        <f t="shared" si="1"/>
        <v>356060</v>
      </c>
      <c r="H11" s="256">
        <f t="shared" si="1"/>
        <v>0</v>
      </c>
      <c r="I11" s="256">
        <f t="shared" si="1"/>
        <v>69889</v>
      </c>
      <c r="J11" s="256">
        <f t="shared" si="1"/>
        <v>350</v>
      </c>
      <c r="K11" s="256">
        <f t="shared" si="1"/>
        <v>0</v>
      </c>
    </row>
    <row r="12" spans="1:11" s="653" customFormat="1" ht="14.25" customHeight="1" thickTop="1" thickBot="1" x14ac:dyDescent="0.25">
      <c r="A12" s="1365" t="s">
        <v>80</v>
      </c>
      <c r="B12" s="1366"/>
      <c r="C12" s="256">
        <f>SUM(C3,C11)</f>
        <v>14753670</v>
      </c>
      <c r="D12" s="256">
        <f t="shared" ref="D12:K12" si="2">SUM(D3,D11)</f>
        <v>1736659</v>
      </c>
      <c r="E12" s="256">
        <f t="shared" si="2"/>
        <v>684903</v>
      </c>
      <c r="F12" s="256">
        <f t="shared" si="2"/>
        <v>1109668</v>
      </c>
      <c r="G12" s="256">
        <f t="shared" si="2"/>
        <v>464336</v>
      </c>
      <c r="H12" s="256">
        <f t="shared" si="2"/>
        <v>0</v>
      </c>
      <c r="I12" s="256">
        <f t="shared" si="2"/>
        <v>365392</v>
      </c>
      <c r="J12" s="256">
        <f t="shared" si="2"/>
        <v>118077</v>
      </c>
      <c r="K12" s="256">
        <f t="shared" si="2"/>
        <v>0</v>
      </c>
    </row>
    <row r="13" spans="1:11" s="653" customFormat="1" ht="14.25" customHeight="1" thickTop="1" thickBot="1" x14ac:dyDescent="0.25">
      <c r="A13" s="1738" t="s">
        <v>688</v>
      </c>
      <c r="B13" s="1737"/>
      <c r="C13" s="205">
        <f>SUM('BudgetSum 2-4'!C19,'BudgetSum 2-4'!C79)</f>
        <v>9657375</v>
      </c>
      <c r="D13" s="205">
        <f>SUM('BudgetSum 2-4'!D19,'BudgetSum 2-4'!D79)</f>
        <v>1186722</v>
      </c>
      <c r="E13" s="205">
        <f>SUM('BudgetSum 2-4'!E19,'BudgetSum 2-4'!E79)</f>
        <v>428960</v>
      </c>
      <c r="F13" s="205">
        <f>SUM('BudgetSum 2-4'!F19,'BudgetSum 2-4'!F79)</f>
        <v>686359</v>
      </c>
      <c r="G13" s="205">
        <f>SUM('BudgetSum 2-4'!G19,'BudgetSum 2-4'!G79)</f>
        <v>288329</v>
      </c>
      <c r="H13" s="205">
        <f>SUM('BudgetSum 2-4'!H19,'BudgetSum 2-4'!H79)</f>
        <v>0</v>
      </c>
      <c r="I13" s="205">
        <f>SUM('BudgetSum 2-4'!I19,'BudgetSum 2-4'!I79)</f>
        <v>0</v>
      </c>
      <c r="J13" s="205">
        <f>SUM('BudgetSum 2-4'!J19,'BudgetSum 2-4'!J79)</f>
        <v>15200</v>
      </c>
      <c r="K13" s="205">
        <f>SUM('BudgetSum 2-4'!K19,'BudgetSum 2-4'!K79)</f>
        <v>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4" t="s">
        <v>81</v>
      </c>
      <c r="B19" s="1735"/>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9657375</v>
      </c>
      <c r="D20" s="205">
        <f>SUM(D13,D19)</f>
        <v>1186722</v>
      </c>
      <c r="E20" s="205">
        <f t="shared" ref="E20:K20" si="4">SUM(E13,E19)</f>
        <v>428960</v>
      </c>
      <c r="F20" s="205">
        <f t="shared" si="4"/>
        <v>686359</v>
      </c>
      <c r="G20" s="205">
        <f t="shared" si="4"/>
        <v>288329</v>
      </c>
      <c r="H20" s="205">
        <f t="shared" si="4"/>
        <v>0</v>
      </c>
      <c r="I20" s="205">
        <f t="shared" si="4"/>
        <v>0</v>
      </c>
      <c r="J20" s="205">
        <f t="shared" si="4"/>
        <v>15200</v>
      </c>
      <c r="K20" s="205">
        <f t="shared" si="4"/>
        <v>0</v>
      </c>
    </row>
    <row r="21" spans="1:11" s="653" customFormat="1" ht="28.5" customHeight="1" thickTop="1" thickBot="1" x14ac:dyDescent="0.25">
      <c r="A21" s="1739" t="str">
        <f>"ENDING CASH BALANCE ON HAND (without Student Activity Funds) as of June 30, "&amp;'B24'!L2</f>
        <v>ENDING CASH BALANCE ON HAND (without Student Activity Funds) as of June 30, 2024</v>
      </c>
      <c r="B21" s="1740"/>
      <c r="C21" s="194">
        <f>SUM(C12-C20)</f>
        <v>5096295</v>
      </c>
      <c r="D21" s="194">
        <f t="shared" ref="D21:K21" si="5">SUM(D12-D20)</f>
        <v>549937</v>
      </c>
      <c r="E21" s="194">
        <f t="shared" si="5"/>
        <v>255943</v>
      </c>
      <c r="F21" s="194">
        <f t="shared" si="5"/>
        <v>423309</v>
      </c>
      <c r="G21" s="194">
        <f t="shared" si="5"/>
        <v>176007</v>
      </c>
      <c r="H21" s="194">
        <f t="shared" si="5"/>
        <v>0</v>
      </c>
      <c r="I21" s="194">
        <f t="shared" si="5"/>
        <v>365392</v>
      </c>
      <c r="J21" s="194">
        <f t="shared" si="5"/>
        <v>102877</v>
      </c>
      <c r="K21" s="194">
        <f t="shared" si="5"/>
        <v>0</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52748</v>
      </c>
      <c r="D23" s="252"/>
      <c r="E23" s="252"/>
      <c r="F23" s="252"/>
      <c r="G23" s="252"/>
      <c r="H23" s="252"/>
      <c r="I23" s="252"/>
      <c r="J23" s="252"/>
      <c r="K23" s="252"/>
    </row>
    <row r="24" spans="1:11" s="653" customFormat="1" ht="24" customHeight="1" thickTop="1" thickBot="1" x14ac:dyDescent="0.25">
      <c r="A24" s="1734" t="s">
        <v>687</v>
      </c>
      <c r="B24" s="1735"/>
      <c r="C24" s="205">
        <f>'BudgetSum 2-4'!C85</f>
        <v>0</v>
      </c>
      <c r="D24" s="252"/>
      <c r="E24" s="252"/>
      <c r="F24" s="252"/>
      <c r="G24" s="252"/>
      <c r="H24" s="252"/>
      <c r="I24" s="252"/>
      <c r="J24" s="252"/>
      <c r="K24" s="252"/>
    </row>
    <row r="25" spans="1:11" ht="14.25" thickTop="1" thickBot="1" x14ac:dyDescent="0.25">
      <c r="A25" s="1365" t="s">
        <v>80</v>
      </c>
      <c r="B25" s="1366"/>
      <c r="C25" s="256">
        <f>SUM(C23,C24)</f>
        <v>52748</v>
      </c>
      <c r="D25" s="252"/>
      <c r="E25" s="252"/>
      <c r="F25" s="252"/>
      <c r="G25" s="252"/>
      <c r="H25" s="252"/>
      <c r="I25" s="252"/>
      <c r="J25" s="252"/>
      <c r="K25" s="252"/>
    </row>
    <row r="26" spans="1:11" ht="14.25" thickTop="1" thickBot="1" x14ac:dyDescent="0.25">
      <c r="A26" s="1738" t="s">
        <v>688</v>
      </c>
      <c r="B26" s="1737"/>
      <c r="C26" s="205">
        <f>'BudgetSum 2-4'!C87</f>
        <v>0</v>
      </c>
      <c r="D26" s="252"/>
      <c r="E26" s="252"/>
      <c r="F26" s="252"/>
      <c r="G26" s="252"/>
      <c r="H26" s="252"/>
      <c r="I26" s="252"/>
      <c r="J26" s="252"/>
      <c r="K26" s="252"/>
    </row>
    <row r="27" spans="1:11" ht="26.1" customHeight="1" thickTop="1" thickBot="1" x14ac:dyDescent="0.25">
      <c r="A27" s="1739" t="str">
        <f>"Activity funds ENDING CASH BALANCE ON HAND7 as of June 30, "&amp;'B24'!L2</f>
        <v>Activity funds ENDING CASH BALANCE ON HAND7 as of June 30, 2024</v>
      </c>
      <c r="B27" s="1740"/>
      <c r="C27" s="194">
        <f>SUM(C25-C26)</f>
        <v>52748</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5034938</v>
      </c>
      <c r="D29" s="585">
        <f t="shared" ref="D29:K30" si="6">D3</f>
        <v>514068</v>
      </c>
      <c r="E29" s="585">
        <f t="shared" si="6"/>
        <v>231837</v>
      </c>
      <c r="F29" s="585">
        <f t="shared" si="6"/>
        <v>351894</v>
      </c>
      <c r="G29" s="585">
        <f t="shared" si="6"/>
        <v>108276</v>
      </c>
      <c r="H29" s="585">
        <f t="shared" si="6"/>
        <v>0</v>
      </c>
      <c r="I29" s="585">
        <f t="shared" si="6"/>
        <v>295503</v>
      </c>
      <c r="J29" s="585">
        <f t="shared" si="6"/>
        <v>117727</v>
      </c>
      <c r="K29" s="585">
        <f t="shared" si="6"/>
        <v>0</v>
      </c>
    </row>
    <row r="30" spans="1:11" ht="13.5" thickTop="1" x14ac:dyDescent="0.2">
      <c r="A30" s="1743" t="s">
        <v>687</v>
      </c>
      <c r="B30" s="1744"/>
      <c r="C30" s="585">
        <f>C4+C24</f>
        <v>9771480</v>
      </c>
      <c r="D30" s="585">
        <f t="shared" si="6"/>
        <v>1222591</v>
      </c>
      <c r="E30" s="585">
        <f t="shared" si="6"/>
        <v>453066</v>
      </c>
      <c r="F30" s="585">
        <f t="shared" si="6"/>
        <v>757774</v>
      </c>
      <c r="G30" s="585">
        <f t="shared" si="6"/>
        <v>356060</v>
      </c>
      <c r="H30" s="585">
        <f t="shared" si="6"/>
        <v>0</v>
      </c>
      <c r="I30" s="585">
        <f t="shared" si="6"/>
        <v>69889</v>
      </c>
      <c r="J30" s="585">
        <f t="shared" si="6"/>
        <v>350</v>
      </c>
      <c r="K30" s="585">
        <f t="shared" si="6"/>
        <v>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5" t="s">
        <v>47</v>
      </c>
      <c r="B32" s="1735"/>
      <c r="C32" s="255">
        <f t="shared" ref="C32:K32" si="8">SUM(C30,C31)</f>
        <v>9771480</v>
      </c>
      <c r="D32" s="255">
        <f t="shared" si="8"/>
        <v>1222591</v>
      </c>
      <c r="E32" s="255">
        <f t="shared" si="8"/>
        <v>453066</v>
      </c>
      <c r="F32" s="255">
        <f t="shared" si="8"/>
        <v>757774</v>
      </c>
      <c r="G32" s="255">
        <f t="shared" si="8"/>
        <v>356060</v>
      </c>
      <c r="H32" s="255">
        <f t="shared" si="8"/>
        <v>0</v>
      </c>
      <c r="I32" s="255">
        <f t="shared" si="8"/>
        <v>69889</v>
      </c>
      <c r="J32" s="255">
        <f t="shared" si="8"/>
        <v>350</v>
      </c>
      <c r="K32" s="255">
        <f t="shared" si="8"/>
        <v>0</v>
      </c>
    </row>
    <row r="33" spans="1:11" ht="14.25" thickTop="1" thickBot="1" x14ac:dyDescent="0.25">
      <c r="A33" s="1370" t="s">
        <v>80</v>
      </c>
      <c r="B33" s="1371"/>
      <c r="C33" s="593">
        <f t="shared" ref="C33:K33" si="9">SUM(C29,C32)</f>
        <v>14806418</v>
      </c>
      <c r="D33" s="593">
        <f t="shared" si="9"/>
        <v>1736659</v>
      </c>
      <c r="E33" s="593">
        <f t="shared" si="9"/>
        <v>684903</v>
      </c>
      <c r="F33" s="593">
        <f t="shared" si="9"/>
        <v>1109668</v>
      </c>
      <c r="G33" s="593">
        <f t="shared" si="9"/>
        <v>464336</v>
      </c>
      <c r="H33" s="593">
        <f t="shared" si="9"/>
        <v>0</v>
      </c>
      <c r="I33" s="593">
        <f t="shared" si="9"/>
        <v>365392</v>
      </c>
      <c r="J33" s="593">
        <f t="shared" si="9"/>
        <v>118077</v>
      </c>
      <c r="K33" s="593">
        <f t="shared" si="9"/>
        <v>0</v>
      </c>
    </row>
    <row r="34" spans="1:11" ht="13.5" thickTop="1" x14ac:dyDescent="0.2">
      <c r="A34" s="1741" t="s">
        <v>688</v>
      </c>
      <c r="B34" s="1742"/>
      <c r="C34" s="585">
        <f>C13+C26</f>
        <v>9657375</v>
      </c>
      <c r="D34" s="585">
        <f t="shared" ref="D34:K34" si="10">D13</f>
        <v>1186722</v>
      </c>
      <c r="E34" s="585">
        <f t="shared" si="10"/>
        <v>428960</v>
      </c>
      <c r="F34" s="585">
        <f t="shared" si="10"/>
        <v>686359</v>
      </c>
      <c r="G34" s="585">
        <f t="shared" si="10"/>
        <v>288329</v>
      </c>
      <c r="H34" s="585">
        <f t="shared" si="10"/>
        <v>0</v>
      </c>
      <c r="I34" s="585">
        <f t="shared" si="10"/>
        <v>0</v>
      </c>
      <c r="J34" s="585">
        <f t="shared" si="10"/>
        <v>15200</v>
      </c>
      <c r="K34" s="585">
        <f t="shared" si="10"/>
        <v>0</v>
      </c>
    </row>
    <row r="35" spans="1:11" ht="13.5" thickBot="1" x14ac:dyDescent="0.25">
      <c r="A35" s="1734" t="s">
        <v>81</v>
      </c>
      <c r="B35" s="1735"/>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9657375</v>
      </c>
      <c r="D36" s="594">
        <f t="shared" si="12"/>
        <v>1186722</v>
      </c>
      <c r="E36" s="594">
        <f t="shared" si="12"/>
        <v>428960</v>
      </c>
      <c r="F36" s="594">
        <f t="shared" si="12"/>
        <v>686359</v>
      </c>
      <c r="G36" s="594">
        <f t="shared" si="12"/>
        <v>288329</v>
      </c>
      <c r="H36" s="594">
        <f t="shared" si="12"/>
        <v>0</v>
      </c>
      <c r="I36" s="594">
        <f t="shared" si="12"/>
        <v>0</v>
      </c>
      <c r="J36" s="594">
        <f t="shared" si="12"/>
        <v>15200</v>
      </c>
      <c r="K36" s="594">
        <f t="shared" si="12"/>
        <v>0</v>
      </c>
    </row>
    <row r="37" spans="1:11" ht="27.75" customHeight="1" thickTop="1" thickBot="1" x14ac:dyDescent="0.25">
      <c r="A37" s="1739" t="str">
        <f>"Total ENDING CASH BALANCE ON HAND (with Student Activity Funds)7 as of June 30, "&amp;'B24'!L2</f>
        <v>Total ENDING CASH BALANCE ON HAND (with Student Activity Funds)7 as of June 30, 2024</v>
      </c>
      <c r="B37" s="1740"/>
      <c r="C37" s="194">
        <f t="shared" ref="C37:K37" si="13">SUM(C33-C36)</f>
        <v>5149043</v>
      </c>
      <c r="D37" s="194">
        <f t="shared" si="13"/>
        <v>549937</v>
      </c>
      <c r="E37" s="194">
        <f t="shared" si="13"/>
        <v>255943</v>
      </c>
      <c r="F37" s="194">
        <f t="shared" si="13"/>
        <v>423309</v>
      </c>
      <c r="G37" s="194">
        <f t="shared" si="13"/>
        <v>176007</v>
      </c>
      <c r="H37" s="194">
        <f t="shared" si="13"/>
        <v>0</v>
      </c>
      <c r="I37" s="194">
        <f t="shared" si="13"/>
        <v>365392</v>
      </c>
      <c r="J37" s="194">
        <f t="shared" si="13"/>
        <v>102877</v>
      </c>
      <c r="K37" s="194">
        <f t="shared" si="13"/>
        <v>0</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74"/>
  <sheetViews>
    <sheetView showGridLines="0" topLeftCell="A38" zoomScaleNormal="100" workbookViewId="0">
      <pane ySplit="1" topLeftCell="A217" activePane="bottomLeft"/>
      <selection activeCell="E89" sqref="E89"/>
      <selection pane="bottomLeft" activeCell="C266" sqref="C266"/>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5001481</v>
      </c>
      <c r="D5" s="18">
        <v>865823</v>
      </c>
      <c r="E5" s="18">
        <v>443566</v>
      </c>
      <c r="F5" s="18">
        <v>175298</v>
      </c>
      <c r="G5" s="18">
        <v>151540</v>
      </c>
      <c r="H5" s="18"/>
      <c r="I5" s="18">
        <v>60889</v>
      </c>
      <c r="J5" s="18"/>
      <c r="K5" s="18"/>
    </row>
    <row r="6" spans="1:11" s="911" customFormat="1" ht="14.25" x14ac:dyDescent="0.2">
      <c r="A6" s="929" t="s">
        <v>667</v>
      </c>
      <c r="B6" s="930">
        <v>1130</v>
      </c>
      <c r="C6" s="18"/>
      <c r="D6" s="18"/>
      <c r="E6" s="19"/>
      <c r="F6" s="19"/>
      <c r="G6" s="20"/>
      <c r="H6" s="20"/>
      <c r="I6" s="20"/>
      <c r="J6" s="20"/>
      <c r="K6" s="20"/>
    </row>
    <row r="7" spans="1:11" s="767" customFormat="1" ht="12" x14ac:dyDescent="0.2">
      <c r="A7" s="931" t="s">
        <v>23</v>
      </c>
      <c r="B7" s="932">
        <v>1140</v>
      </c>
      <c r="C7" s="18">
        <v>25773</v>
      </c>
      <c r="D7" s="18"/>
      <c r="E7" s="19"/>
      <c r="F7" s="18"/>
      <c r="G7" s="18">
        <v>11120</v>
      </c>
      <c r="H7" s="18"/>
      <c r="I7" s="20"/>
      <c r="J7" s="20"/>
      <c r="K7" s="20"/>
    </row>
    <row r="8" spans="1:11" s="767" customFormat="1" ht="12" x14ac:dyDescent="0.2">
      <c r="A8" s="913" t="s">
        <v>24</v>
      </c>
      <c r="B8" s="914">
        <v>1150</v>
      </c>
      <c r="C8" s="19"/>
      <c r="D8" s="19"/>
      <c r="E8" s="19"/>
      <c r="F8" s="19"/>
      <c r="G8" s="21">
        <v>180400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5027254</v>
      </c>
      <c r="D12" s="22">
        <f t="shared" ref="D12:K12" si="0">SUM(D5:D11)</f>
        <v>865823</v>
      </c>
      <c r="E12" s="22">
        <f t="shared" si="0"/>
        <v>443566</v>
      </c>
      <c r="F12" s="22">
        <f t="shared" si="0"/>
        <v>175298</v>
      </c>
      <c r="G12" s="22">
        <f t="shared" si="0"/>
        <v>343060</v>
      </c>
      <c r="H12" s="22">
        <f t="shared" si="0"/>
        <v>0</v>
      </c>
      <c r="I12" s="22">
        <f t="shared" si="0"/>
        <v>60889</v>
      </c>
      <c r="J12" s="22">
        <f t="shared" si="0"/>
        <v>0</v>
      </c>
      <c r="K12" s="22">
        <f t="shared" si="0"/>
        <v>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81000</v>
      </c>
      <c r="D16" s="18"/>
      <c r="E16" s="18"/>
      <c r="F16" s="18"/>
      <c r="G16" s="18"/>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81000</v>
      </c>
      <c r="D18" s="25">
        <f t="shared" ref="D18:K18" si="1">SUM(D14:D17)</f>
        <v>0</v>
      </c>
      <c r="E18" s="25">
        <f t="shared" si="1"/>
        <v>0</v>
      </c>
      <c r="F18" s="25">
        <f t="shared" si="1"/>
        <v>0</v>
      </c>
      <c r="G18" s="25">
        <f t="shared" si="1"/>
        <v>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110000</v>
      </c>
      <c r="D65" s="18">
        <v>15000</v>
      </c>
      <c r="E65" s="18">
        <v>9500</v>
      </c>
      <c r="F65" s="18">
        <v>42000</v>
      </c>
      <c r="G65" s="18">
        <v>13000</v>
      </c>
      <c r="H65" s="18"/>
      <c r="I65" s="18">
        <v>9000</v>
      </c>
      <c r="J65" s="18">
        <v>350</v>
      </c>
      <c r="K65" s="18"/>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110000</v>
      </c>
      <c r="D67" s="34">
        <f t="shared" ref="D67:K67" si="2">SUM(D65:D66)</f>
        <v>15000</v>
      </c>
      <c r="E67" s="34">
        <f t="shared" si="2"/>
        <v>9500</v>
      </c>
      <c r="F67" s="34">
        <f t="shared" si="2"/>
        <v>42000</v>
      </c>
      <c r="G67" s="34">
        <f t="shared" si="2"/>
        <v>13000</v>
      </c>
      <c r="H67" s="34">
        <f t="shared" si="2"/>
        <v>0</v>
      </c>
      <c r="I67" s="34">
        <f t="shared" si="2"/>
        <v>9000</v>
      </c>
      <c r="J67" s="34">
        <f t="shared" si="2"/>
        <v>350</v>
      </c>
      <c r="K67" s="34">
        <f t="shared" si="2"/>
        <v>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v>1500</v>
      </c>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v>12000</v>
      </c>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13500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12700</v>
      </c>
      <c r="D77" s="18"/>
      <c r="E77" s="36"/>
      <c r="F77" s="36"/>
      <c r="G77" s="37"/>
      <c r="H77" s="37"/>
      <c r="I77" s="37"/>
      <c r="J77" s="37"/>
      <c r="K77" s="37"/>
    </row>
    <row r="78" spans="1:11" s="767" customFormat="1" ht="12" x14ac:dyDescent="0.2">
      <c r="A78" s="887" t="s">
        <v>138</v>
      </c>
      <c r="B78" s="888">
        <v>1719</v>
      </c>
      <c r="C78" s="18"/>
      <c r="D78" s="18"/>
      <c r="E78" s="36"/>
      <c r="F78" s="36"/>
      <c r="G78" s="37"/>
      <c r="H78" s="37"/>
      <c r="I78" s="37"/>
      <c r="J78" s="37"/>
      <c r="K78" s="37"/>
    </row>
    <row r="79" spans="1:11" s="767" customFormat="1" ht="12" x14ac:dyDescent="0.2">
      <c r="A79" s="887" t="s">
        <v>139</v>
      </c>
      <c r="B79" s="888">
        <v>1720</v>
      </c>
      <c r="C79" s="18">
        <v>7100</v>
      </c>
      <c r="D79" s="18"/>
      <c r="E79" s="36"/>
      <c r="F79" s="36"/>
      <c r="G79" s="37"/>
      <c r="H79" s="37"/>
      <c r="I79" s="37"/>
      <c r="J79" s="37"/>
      <c r="K79" s="37"/>
    </row>
    <row r="80" spans="1:11" s="767" customFormat="1" ht="12" x14ac:dyDescent="0.2">
      <c r="A80" s="887" t="s">
        <v>140</v>
      </c>
      <c r="B80" s="888">
        <v>1730</v>
      </c>
      <c r="C80" s="18">
        <v>81690</v>
      </c>
      <c r="D80" s="18"/>
      <c r="E80" s="36"/>
      <c r="F80" s="36"/>
      <c r="G80" s="37"/>
      <c r="H80" s="37"/>
      <c r="I80" s="37"/>
      <c r="J80" s="37"/>
      <c r="K80" s="37"/>
    </row>
    <row r="81" spans="1:11" s="767" customFormat="1" ht="12" x14ac:dyDescent="0.2">
      <c r="A81" s="891" t="s">
        <v>840</v>
      </c>
      <c r="B81" s="888">
        <v>1790</v>
      </c>
      <c r="C81" s="18"/>
      <c r="D81" s="18"/>
      <c r="E81" s="36"/>
      <c r="F81" s="36"/>
      <c r="G81" s="37"/>
      <c r="H81" s="37"/>
      <c r="I81" s="37"/>
      <c r="J81" s="37"/>
      <c r="K81" s="37"/>
    </row>
    <row r="82" spans="1:11" s="767" customFormat="1" ht="12" x14ac:dyDescent="0.2">
      <c r="A82" s="891" t="s">
        <v>753</v>
      </c>
      <c r="B82" s="888" t="s">
        <v>751</v>
      </c>
      <c r="C82" s="595"/>
      <c r="D82" s="31"/>
      <c r="E82" s="575"/>
      <c r="F82" s="36"/>
      <c r="G82" s="37"/>
      <c r="H82" s="37"/>
      <c r="I82" s="37"/>
      <c r="J82" s="37"/>
      <c r="K82" s="37"/>
    </row>
    <row r="83" spans="1:11" s="767" customFormat="1" thickBot="1" x14ac:dyDescent="0.25">
      <c r="A83" s="883" t="s">
        <v>754</v>
      </c>
      <c r="B83" s="884"/>
      <c r="C83" s="38">
        <f>SUM(C77:C81)</f>
        <v>101490</v>
      </c>
      <c r="D83" s="38">
        <f>SUM(D77:D81)</f>
        <v>0</v>
      </c>
      <c r="E83" s="36"/>
      <c r="F83" s="36"/>
      <c r="G83" s="37"/>
      <c r="H83" s="37"/>
      <c r="I83" s="37"/>
      <c r="J83" s="37"/>
      <c r="K83" s="37"/>
    </row>
    <row r="84" spans="1:11" s="767" customFormat="1" ht="13.5" thickTop="1" thickBot="1" x14ac:dyDescent="0.25">
      <c r="A84" s="883" t="s">
        <v>755</v>
      </c>
      <c r="B84" s="884"/>
      <c r="C84" s="38">
        <f>C83+C82</f>
        <v>101490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c r="D102" s="18"/>
      <c r="E102" s="18"/>
      <c r="F102" s="18"/>
      <c r="G102" s="18"/>
      <c r="H102" s="18"/>
      <c r="I102" s="42"/>
      <c r="J102" s="18"/>
      <c r="K102" s="18"/>
    </row>
    <row r="103" spans="1:11" s="767" customFormat="1" ht="12" x14ac:dyDescent="0.2">
      <c r="A103" s="882" t="s">
        <v>325</v>
      </c>
      <c r="B103" s="864">
        <v>1970</v>
      </c>
      <c r="C103" s="41"/>
      <c r="D103" s="44"/>
      <c r="E103" s="44"/>
      <c r="F103" s="44"/>
      <c r="G103" s="45"/>
      <c r="H103" s="45"/>
      <c r="I103" s="46"/>
      <c r="J103" s="45"/>
      <c r="K103" s="45"/>
    </row>
    <row r="104" spans="1:11" s="767" customFormat="1" ht="12" x14ac:dyDescent="0.2">
      <c r="A104" s="882" t="s">
        <v>326</v>
      </c>
      <c r="B104" s="864">
        <v>1980</v>
      </c>
      <c r="C104" s="41">
        <v>4000</v>
      </c>
      <c r="D104" s="41">
        <v>0</v>
      </c>
      <c r="E104" s="41">
        <v>0</v>
      </c>
      <c r="F104" s="41">
        <v>0</v>
      </c>
      <c r="G104" s="41">
        <v>0</v>
      </c>
      <c r="H104" s="41">
        <v>0</v>
      </c>
      <c r="I104" s="41">
        <v>0</v>
      </c>
      <c r="J104" s="41">
        <v>0</v>
      </c>
      <c r="K104" s="41">
        <v>0</v>
      </c>
    </row>
    <row r="105" spans="1:11" s="767" customFormat="1" ht="12" x14ac:dyDescent="0.2">
      <c r="A105" s="882" t="s">
        <v>292</v>
      </c>
      <c r="B105" s="864">
        <v>1983</v>
      </c>
      <c r="C105" s="47"/>
      <c r="D105" s="49"/>
      <c r="E105" s="47"/>
      <c r="F105" s="49"/>
      <c r="G105" s="50"/>
      <c r="H105" s="48"/>
      <c r="I105" s="46"/>
      <c r="J105" s="46"/>
      <c r="K105" s="46"/>
    </row>
    <row r="106" spans="1:11" s="767" customFormat="1" ht="12" x14ac:dyDescent="0.2">
      <c r="A106" s="882" t="s">
        <v>29</v>
      </c>
      <c r="B106" s="864">
        <v>1991</v>
      </c>
      <c r="C106" s="47"/>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c r="D109" s="43"/>
      <c r="E109" s="43"/>
      <c r="F109" s="43"/>
      <c r="G109" s="43"/>
      <c r="H109" s="43"/>
      <c r="I109" s="42"/>
      <c r="J109" s="42"/>
      <c r="K109" s="42"/>
    </row>
    <row r="110" spans="1:11" s="767" customFormat="1" thickBot="1" x14ac:dyDescent="0.25">
      <c r="A110" s="875" t="s">
        <v>90</v>
      </c>
      <c r="B110" s="805"/>
      <c r="C110" s="51">
        <f>SUM(C97:C109)</f>
        <v>4000</v>
      </c>
      <c r="D110" s="51">
        <f>SUM(D97:D109)</f>
        <v>0</v>
      </c>
      <c r="E110" s="51">
        <f t="shared" ref="E110:K110" si="3">SUM(E97:E109)</f>
        <v>0</v>
      </c>
      <c r="F110" s="51">
        <f t="shared" si="3"/>
        <v>0</v>
      </c>
      <c r="G110" s="51">
        <f t="shared" si="3"/>
        <v>0</v>
      </c>
      <c r="H110" s="51">
        <f t="shared" si="3"/>
        <v>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5337244</v>
      </c>
      <c r="D111" s="52">
        <f t="shared" si="4"/>
        <v>880823</v>
      </c>
      <c r="E111" s="52">
        <f t="shared" si="4"/>
        <v>453066</v>
      </c>
      <c r="F111" s="52">
        <f t="shared" si="4"/>
        <v>217298</v>
      </c>
      <c r="G111" s="52">
        <f t="shared" si="4"/>
        <v>356060</v>
      </c>
      <c r="H111" s="52">
        <f t="shared" si="4"/>
        <v>0</v>
      </c>
      <c r="I111" s="52">
        <f t="shared" si="4"/>
        <v>69889</v>
      </c>
      <c r="J111" s="52">
        <f t="shared" si="4"/>
        <v>350</v>
      </c>
      <c r="K111" s="52">
        <f t="shared" si="4"/>
        <v>0</v>
      </c>
    </row>
    <row r="112" spans="1:11" s="767" customFormat="1" ht="24.75" customHeight="1" thickTop="1" thickBot="1" x14ac:dyDescent="0.25">
      <c r="A112" s="878" t="s">
        <v>757</v>
      </c>
      <c r="B112" s="879"/>
      <c r="C112" s="52">
        <f>C12+C18+C40+C67+C75+C84+C95+C110</f>
        <v>5337244</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v>100</v>
      </c>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100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3072101</v>
      </c>
      <c r="D120" s="43">
        <v>341768</v>
      </c>
      <c r="E120" s="43"/>
      <c r="F120" s="43">
        <v>188755</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3072101</v>
      </c>
      <c r="D124" s="64">
        <f t="shared" si="5"/>
        <v>341768</v>
      </c>
      <c r="E124" s="64">
        <f t="shared" si="5"/>
        <v>0</v>
      </c>
      <c r="F124" s="64">
        <f t="shared" si="5"/>
        <v>188755</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v>600</v>
      </c>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600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2000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242854</v>
      </c>
      <c r="G154" s="71"/>
      <c r="H154" s="78"/>
      <c r="I154" s="78"/>
      <c r="J154" s="78"/>
      <c r="K154" s="78"/>
    </row>
    <row r="155" spans="1:11" s="767" customFormat="1" ht="12" x14ac:dyDescent="0.2">
      <c r="A155" s="835" t="s">
        <v>413</v>
      </c>
      <c r="B155" s="837">
        <v>3510</v>
      </c>
      <c r="C155" s="71"/>
      <c r="D155" s="71"/>
      <c r="E155" s="77"/>
      <c r="F155" s="71">
        <v>108867</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351721</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203010</v>
      </c>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205610</v>
      </c>
      <c r="D171" s="85">
        <f t="shared" si="6"/>
        <v>0</v>
      </c>
      <c r="E171" s="85">
        <f t="shared" si="6"/>
        <v>0</v>
      </c>
      <c r="F171" s="85">
        <f t="shared" si="6"/>
        <v>351721</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3277711</v>
      </c>
      <c r="D172" s="86">
        <f t="shared" si="7"/>
        <v>341768</v>
      </c>
      <c r="E172" s="86">
        <f t="shared" si="7"/>
        <v>0</v>
      </c>
      <c r="F172" s="86">
        <f t="shared" si="7"/>
        <v>540476</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6" t="s">
        <v>730</v>
      </c>
      <c r="B174" s="1747"/>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8" t="s">
        <v>342</v>
      </c>
      <c r="B177" s="1749"/>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6" t="s">
        <v>731</v>
      </c>
      <c r="B178" s="1747"/>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0" t="s">
        <v>732</v>
      </c>
      <c r="B184" s="1751"/>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411396</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140000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551396</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117909</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117909</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v>10000</v>
      </c>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10000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4852</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242706</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247558</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v>19900</v>
      </c>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v>25282</v>
      </c>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c r="D267" s="104"/>
      <c r="E267" s="121"/>
      <c r="F267" s="104"/>
      <c r="G267" s="104"/>
      <c r="H267" s="123"/>
      <c r="I267" s="123"/>
      <c r="J267" s="123"/>
      <c r="K267" s="123"/>
    </row>
    <row r="268" spans="1:11" s="767" customFormat="1" ht="12" x14ac:dyDescent="0.2">
      <c r="A268" s="220" t="s">
        <v>427</v>
      </c>
      <c r="B268" s="745">
        <v>4992</v>
      </c>
      <c r="C268" s="104">
        <v>65000</v>
      </c>
      <c r="D268" s="104"/>
      <c r="E268" s="121"/>
      <c r="F268" s="104"/>
      <c r="G268" s="104"/>
      <c r="H268" s="123"/>
      <c r="I268" s="123"/>
      <c r="J268" s="123"/>
      <c r="K268" s="123"/>
    </row>
    <row r="269" spans="1:11" s="767" customFormat="1" ht="22.5" x14ac:dyDescent="0.2">
      <c r="A269" s="774" t="s">
        <v>823</v>
      </c>
      <c r="B269" s="775">
        <v>4998</v>
      </c>
      <c r="C269" s="104">
        <v>119380</v>
      </c>
      <c r="D269" s="104"/>
      <c r="E269" s="121"/>
      <c r="F269" s="104"/>
      <c r="G269" s="104"/>
      <c r="H269" s="104"/>
      <c r="I269" s="129"/>
      <c r="J269" s="129"/>
      <c r="K269" s="104"/>
    </row>
    <row r="270" spans="1:11" s="767" customFormat="1" ht="24.75" thickBot="1" x14ac:dyDescent="0.25">
      <c r="A270" s="765" t="s">
        <v>733</v>
      </c>
      <c r="B270" s="766"/>
      <c r="C270" s="616">
        <f>SUM(C190,C200,C206,C212,C220,C224:C225,C255:C269)</f>
        <v>1156425</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1156425</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9771480</v>
      </c>
      <c r="D272" s="131">
        <f>SUM(D111,D117,D172,D271)</f>
        <v>1222591</v>
      </c>
      <c r="E272" s="131">
        <f>SUM(E111,E117,E172,E271)</f>
        <v>453066</v>
      </c>
      <c r="F272" s="131">
        <f t="shared" ref="F272:K272" si="11">SUM(F111,F117,F172,F271)</f>
        <v>757774</v>
      </c>
      <c r="G272" s="131">
        <f>SUM(G111,G117,G172,G271)</f>
        <v>356060</v>
      </c>
      <c r="H272" s="131">
        <f t="shared" si="11"/>
        <v>0</v>
      </c>
      <c r="I272" s="131">
        <f>SUM(I111,I117,I172,I271)</f>
        <v>69889</v>
      </c>
      <c r="J272" s="131">
        <f t="shared" si="11"/>
        <v>350</v>
      </c>
      <c r="K272" s="131">
        <f t="shared" si="11"/>
        <v>0</v>
      </c>
    </row>
    <row r="273" spans="1:11" s="767" customFormat="1" ht="25.5" thickTop="1" thickBot="1" x14ac:dyDescent="0.25">
      <c r="A273" s="768" t="s">
        <v>759</v>
      </c>
      <c r="B273" s="770"/>
      <c r="C273" s="131">
        <f>SUM(C112,C117,C172,C271)</f>
        <v>9771480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5"/>
  <sheetViews>
    <sheetView showGridLines="0" zoomScaleNormal="100" zoomScaleSheetLayoutView="80" workbookViewId="0">
      <selection activeCell="C5" sqref="C5"/>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6"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3093564</v>
      </c>
      <c r="D5" s="266">
        <v>558626</v>
      </c>
      <c r="E5" s="266">
        <v>17800</v>
      </c>
      <c r="F5" s="266">
        <v>176460</v>
      </c>
      <c r="G5" s="266">
        <v>230000</v>
      </c>
      <c r="H5" s="266">
        <v>500</v>
      </c>
      <c r="I5" s="266">
        <v>0</v>
      </c>
      <c r="J5" s="266">
        <v>0</v>
      </c>
      <c r="K5" s="267">
        <f>SUM(C5:J5)</f>
        <v>4076950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157378</v>
      </c>
      <c r="D7" s="266">
        <v>31540</v>
      </c>
      <c r="E7" s="266">
        <v>3260</v>
      </c>
      <c r="F7" s="266">
        <v>1804</v>
      </c>
      <c r="G7" s="266"/>
      <c r="H7" s="266"/>
      <c r="I7" s="266"/>
      <c r="J7" s="266"/>
      <c r="K7" s="189">
        <f t="shared" ref="K7:K34" si="0">SUM(C7:J7)</f>
        <v>193982</v>
      </c>
    </row>
    <row r="8" spans="1:11" s="1244" customFormat="1" ht="12" x14ac:dyDescent="0.2">
      <c r="A8" s="1033" t="s">
        <v>323</v>
      </c>
      <c r="B8" s="1021">
        <v>1200</v>
      </c>
      <c r="C8" s="266">
        <v>779734</v>
      </c>
      <c r="D8" s="266">
        <v>114832</v>
      </c>
      <c r="E8" s="266">
        <v>2500</v>
      </c>
      <c r="F8" s="266">
        <v>6000</v>
      </c>
      <c r="G8" s="266"/>
      <c r="H8" s="266"/>
      <c r="I8" s="266"/>
      <c r="J8" s="266"/>
      <c r="K8" s="189">
        <f t="shared" si="0"/>
        <v>903066</v>
      </c>
    </row>
    <row r="9" spans="1:11" s="1244" customFormat="1" ht="12" x14ac:dyDescent="0.2">
      <c r="A9" s="1033" t="s">
        <v>280</v>
      </c>
      <c r="B9" s="1021">
        <v>1225</v>
      </c>
      <c r="C9" s="266"/>
      <c r="D9" s="266"/>
      <c r="E9" s="266"/>
      <c r="F9" s="266"/>
      <c r="G9" s="266"/>
      <c r="H9" s="266"/>
      <c r="I9" s="266"/>
      <c r="J9" s="266"/>
      <c r="K9" s="189">
        <f t="shared" si="0"/>
        <v>0</v>
      </c>
    </row>
    <row r="10" spans="1:11" s="1244" customFormat="1" ht="12" x14ac:dyDescent="0.2">
      <c r="A10" s="1033" t="s">
        <v>115</v>
      </c>
      <c r="B10" s="1021">
        <v>1250</v>
      </c>
      <c r="C10" s="266"/>
      <c r="D10" s="266"/>
      <c r="E10" s="266"/>
      <c r="F10" s="266"/>
      <c r="G10" s="266"/>
      <c r="H10" s="266"/>
      <c r="I10" s="266"/>
      <c r="J10" s="266"/>
      <c r="K10" s="189">
        <f t="shared" si="0"/>
        <v>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c r="F13" s="266"/>
      <c r="G13" s="266"/>
      <c r="H13" s="266"/>
      <c r="I13" s="266"/>
      <c r="J13" s="266"/>
      <c r="K13" s="189">
        <f t="shared" si="0"/>
        <v>0</v>
      </c>
    </row>
    <row r="14" spans="1:11" ht="12" x14ac:dyDescent="0.2">
      <c r="A14" s="1033" t="s">
        <v>262</v>
      </c>
      <c r="B14" s="1021">
        <v>1500</v>
      </c>
      <c r="C14" s="266">
        <v>63000</v>
      </c>
      <c r="D14" s="266">
        <v>670</v>
      </c>
      <c r="E14" s="266">
        <v>9000</v>
      </c>
      <c r="F14" s="266">
        <v>6500</v>
      </c>
      <c r="G14" s="266"/>
      <c r="H14" s="266"/>
      <c r="I14" s="266"/>
      <c r="J14" s="266"/>
      <c r="K14" s="189">
        <f t="shared" si="0"/>
        <v>79170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c r="D17" s="266"/>
      <c r="E17" s="266"/>
      <c r="F17" s="266"/>
      <c r="G17" s="266"/>
      <c r="H17" s="266"/>
      <c r="I17" s="266"/>
      <c r="J17" s="266"/>
      <c r="K17" s="189">
        <f t="shared" si="0"/>
        <v>0</v>
      </c>
    </row>
    <row r="18" spans="1:11" s="1244" customFormat="1" ht="12" x14ac:dyDescent="0.2">
      <c r="A18" s="1033" t="s">
        <v>114</v>
      </c>
      <c r="B18" s="1021">
        <v>1800</v>
      </c>
      <c r="C18" s="266">
        <v>129571</v>
      </c>
      <c r="D18" s="266">
        <v>23234</v>
      </c>
      <c r="E18" s="266">
        <v>1000</v>
      </c>
      <c r="F18" s="266"/>
      <c r="G18" s="266"/>
      <c r="H18" s="266"/>
      <c r="I18" s="266"/>
      <c r="J18" s="266"/>
      <c r="K18" s="189">
        <f t="shared" si="0"/>
        <v>153805</v>
      </c>
    </row>
    <row r="19" spans="1:11" s="1244" customFormat="1" ht="12" x14ac:dyDescent="0.2">
      <c r="A19" s="1033" t="s">
        <v>128</v>
      </c>
      <c r="B19" s="1021">
        <v>1900</v>
      </c>
      <c r="C19" s="266">
        <v>0</v>
      </c>
      <c r="D19" s="266">
        <v>0</v>
      </c>
      <c r="E19" s="266">
        <v>0</v>
      </c>
      <c r="F19" s="266">
        <v>0</v>
      </c>
      <c r="G19" s="266">
        <v>0</v>
      </c>
      <c r="H19" s="266">
        <v>0</v>
      </c>
      <c r="I19" s="266">
        <v>0</v>
      </c>
      <c r="J19" s="266">
        <v>0</v>
      </c>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v>525000</v>
      </c>
      <c r="I22" s="276"/>
      <c r="J22" s="275"/>
      <c r="K22" s="189">
        <f t="shared" si="0"/>
        <v>525000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c r="I33" s="274"/>
      <c r="J33" s="274"/>
      <c r="K33" s="587">
        <f>SUM(C33:J33)</f>
        <v>0</v>
      </c>
    </row>
    <row r="34" spans="1:12" ht="15" thickBot="1" x14ac:dyDescent="0.25">
      <c r="A34" s="1026" t="s">
        <v>760</v>
      </c>
      <c r="B34" s="1027">
        <v>1000</v>
      </c>
      <c r="C34" s="192">
        <f>SUM(C5:C32)</f>
        <v>4223247</v>
      </c>
      <c r="D34" s="192">
        <f t="shared" ref="D34:J34" si="1">SUM(D5:D32)</f>
        <v>728902</v>
      </c>
      <c r="E34" s="192">
        <f t="shared" si="1"/>
        <v>33560</v>
      </c>
      <c r="F34" s="192">
        <f t="shared" si="1"/>
        <v>190764</v>
      </c>
      <c r="G34" s="192">
        <f t="shared" si="1"/>
        <v>230000</v>
      </c>
      <c r="H34" s="192">
        <f>SUM(H5:H32)</f>
        <v>525500</v>
      </c>
      <c r="I34" s="192">
        <f t="shared" si="1"/>
        <v>0</v>
      </c>
      <c r="J34" s="192">
        <f t="shared" si="1"/>
        <v>0</v>
      </c>
      <c r="K34" s="255">
        <f t="shared" si="0"/>
        <v>5931973</v>
      </c>
      <c r="L34" s="1032"/>
    </row>
    <row r="35" spans="1:12" ht="13.5" thickTop="1" thickBot="1" x14ac:dyDescent="0.25">
      <c r="A35" s="1243" t="s">
        <v>761</v>
      </c>
      <c r="B35" s="1027">
        <v>1000</v>
      </c>
      <c r="C35" s="293">
        <f>SUM(C5:C33)</f>
        <v>4223247</v>
      </c>
      <c r="D35" s="293">
        <f t="shared" ref="D35:J35" si="2">SUM(D5:D33)</f>
        <v>728902</v>
      </c>
      <c r="E35" s="293">
        <f t="shared" si="2"/>
        <v>33560</v>
      </c>
      <c r="F35" s="293">
        <f t="shared" si="2"/>
        <v>190764</v>
      </c>
      <c r="G35" s="293">
        <f t="shared" si="2"/>
        <v>230000</v>
      </c>
      <c r="H35" s="293">
        <f>SUM(H5:H33)</f>
        <v>525500</v>
      </c>
      <c r="I35" s="293">
        <f t="shared" si="2"/>
        <v>0</v>
      </c>
      <c r="J35" s="293">
        <f t="shared" si="2"/>
        <v>0</v>
      </c>
      <c r="K35" s="255">
        <f t="shared" ref="K35" si="3">SUM(C35:J35)</f>
        <v>5931973</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v>100775</v>
      </c>
      <c r="D38" s="271">
        <v>25495</v>
      </c>
      <c r="E38" s="271"/>
      <c r="F38" s="271"/>
      <c r="G38" s="271"/>
      <c r="H38" s="271"/>
      <c r="I38" s="271"/>
      <c r="J38" s="271"/>
      <c r="K38" s="189">
        <f t="shared" ref="K38:K43" si="4">SUM(C38:J38)</f>
        <v>126270</v>
      </c>
    </row>
    <row r="39" spans="1:12" ht="12" x14ac:dyDescent="0.2">
      <c r="A39" s="1022" t="s">
        <v>131</v>
      </c>
      <c r="B39" s="1021">
        <v>2120</v>
      </c>
      <c r="C39" s="271"/>
      <c r="D39" s="271"/>
      <c r="E39" s="271"/>
      <c r="F39" s="271"/>
      <c r="G39" s="271"/>
      <c r="H39" s="271"/>
      <c r="I39" s="271"/>
      <c r="J39" s="271"/>
      <c r="K39" s="189">
        <f t="shared" si="4"/>
        <v>0</v>
      </c>
    </row>
    <row r="40" spans="1:12" ht="12" x14ac:dyDescent="0.2">
      <c r="A40" s="1022" t="s">
        <v>132</v>
      </c>
      <c r="B40" s="1021">
        <v>2130</v>
      </c>
      <c r="C40" s="271">
        <v>125819</v>
      </c>
      <c r="D40" s="271">
        <v>20501</v>
      </c>
      <c r="E40" s="271">
        <v>123352</v>
      </c>
      <c r="F40" s="271">
        <v>12200</v>
      </c>
      <c r="G40" s="271"/>
      <c r="H40" s="271"/>
      <c r="I40" s="271"/>
      <c r="J40" s="271"/>
      <c r="K40" s="189">
        <f t="shared" si="4"/>
        <v>281872</v>
      </c>
    </row>
    <row r="41" spans="1:12" ht="12" x14ac:dyDescent="0.2">
      <c r="A41" s="1022" t="s">
        <v>133</v>
      </c>
      <c r="B41" s="1021">
        <v>2140</v>
      </c>
      <c r="C41" s="271">
        <v>86680</v>
      </c>
      <c r="D41" s="271">
        <v>14803</v>
      </c>
      <c r="E41" s="271">
        <v>500</v>
      </c>
      <c r="F41" s="271">
        <v>1000</v>
      </c>
      <c r="G41" s="271"/>
      <c r="H41" s="271"/>
      <c r="I41" s="271"/>
      <c r="J41" s="271"/>
      <c r="K41" s="189">
        <f t="shared" si="4"/>
        <v>102983</v>
      </c>
    </row>
    <row r="42" spans="1:12" s="1242" customFormat="1" ht="12.75" x14ac:dyDescent="0.2">
      <c r="A42" s="1023" t="s">
        <v>360</v>
      </c>
      <c r="B42" s="1420">
        <v>2150</v>
      </c>
      <c r="C42" s="271">
        <v>66161</v>
      </c>
      <c r="D42" s="271">
        <v>11865</v>
      </c>
      <c r="E42" s="271">
        <v>75100</v>
      </c>
      <c r="F42" s="271">
        <v>600</v>
      </c>
      <c r="G42" s="271"/>
      <c r="H42" s="271"/>
      <c r="I42" s="271"/>
      <c r="J42" s="271"/>
      <c r="K42" s="189">
        <f t="shared" si="4"/>
        <v>153726</v>
      </c>
    </row>
    <row r="43" spans="1:12" s="1242" customFormat="1" ht="12.75" x14ac:dyDescent="0.2">
      <c r="A43" s="1024" t="s">
        <v>697</v>
      </c>
      <c r="B43" s="1025">
        <v>2190</v>
      </c>
      <c r="C43" s="271">
        <v>62853</v>
      </c>
      <c r="D43" s="271">
        <v>137</v>
      </c>
      <c r="E43" s="271"/>
      <c r="F43" s="271"/>
      <c r="G43" s="271"/>
      <c r="H43" s="271"/>
      <c r="I43" s="271"/>
      <c r="J43" s="271"/>
      <c r="K43" s="189">
        <f t="shared" si="4"/>
        <v>62990</v>
      </c>
    </row>
    <row r="44" spans="1:12" ht="12.75" thickBot="1" x14ac:dyDescent="0.25">
      <c r="A44" s="1011" t="s">
        <v>500</v>
      </c>
      <c r="B44" s="1421">
        <v>2100</v>
      </c>
      <c r="C44" s="192">
        <f>SUM(C38:C43)</f>
        <v>442288</v>
      </c>
      <c r="D44" s="192">
        <f t="shared" ref="D44:K44" si="5">SUM(D38:D43)</f>
        <v>72801</v>
      </c>
      <c r="E44" s="192">
        <f t="shared" si="5"/>
        <v>198952</v>
      </c>
      <c r="F44" s="192">
        <f t="shared" si="5"/>
        <v>13800</v>
      </c>
      <c r="G44" s="192">
        <f t="shared" si="5"/>
        <v>0</v>
      </c>
      <c r="H44" s="192">
        <f t="shared" si="5"/>
        <v>0</v>
      </c>
      <c r="I44" s="192">
        <f t="shared" si="5"/>
        <v>0</v>
      </c>
      <c r="J44" s="192">
        <f t="shared" si="5"/>
        <v>0</v>
      </c>
      <c r="K44" s="192">
        <f t="shared" si="5"/>
        <v>727841</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v>10000</v>
      </c>
      <c r="D46" s="271"/>
      <c r="E46" s="271">
        <v>71154</v>
      </c>
      <c r="F46" s="271">
        <v>10000</v>
      </c>
      <c r="G46" s="271"/>
      <c r="H46" s="271"/>
      <c r="I46" s="271"/>
      <c r="J46" s="271"/>
      <c r="K46" s="189">
        <f>SUM(C46:J46)</f>
        <v>91154</v>
      </c>
    </row>
    <row r="47" spans="1:12" ht="12" x14ac:dyDescent="0.2">
      <c r="A47" s="1013" t="s">
        <v>258</v>
      </c>
      <c r="B47" s="1014">
        <v>2220</v>
      </c>
      <c r="C47" s="271"/>
      <c r="D47" s="271"/>
      <c r="E47" s="271">
        <v>6500</v>
      </c>
      <c r="F47" s="271">
        <v>5750</v>
      </c>
      <c r="G47" s="271"/>
      <c r="H47" s="271"/>
      <c r="I47" s="271"/>
      <c r="J47" s="271"/>
      <c r="K47" s="189">
        <f>SUM(C47:J47)</f>
        <v>12250</v>
      </c>
    </row>
    <row r="48" spans="1:12" ht="12" x14ac:dyDescent="0.2">
      <c r="A48" s="1013" t="s">
        <v>259</v>
      </c>
      <c r="B48" s="1014">
        <v>2230</v>
      </c>
      <c r="C48" s="271"/>
      <c r="D48" s="271"/>
      <c r="E48" s="271">
        <v>62238</v>
      </c>
      <c r="F48" s="271"/>
      <c r="G48" s="271"/>
      <c r="H48" s="271"/>
      <c r="I48" s="271"/>
      <c r="J48" s="271"/>
      <c r="K48" s="189">
        <f>SUM(C48:J48)</f>
        <v>62238</v>
      </c>
    </row>
    <row r="49" spans="1:12" ht="12.75" thickBot="1" x14ac:dyDescent="0.25">
      <c r="A49" s="1011" t="s">
        <v>501</v>
      </c>
      <c r="B49" s="1421">
        <v>2200</v>
      </c>
      <c r="C49" s="192">
        <f>SUM(C46:C48)</f>
        <v>10000</v>
      </c>
      <c r="D49" s="192">
        <f t="shared" ref="D49:K49" si="6">SUM(D46:D48)</f>
        <v>0</v>
      </c>
      <c r="E49" s="192">
        <f t="shared" si="6"/>
        <v>139892</v>
      </c>
      <c r="F49" s="192">
        <f t="shared" si="6"/>
        <v>15750</v>
      </c>
      <c r="G49" s="192">
        <f t="shared" si="6"/>
        <v>0</v>
      </c>
      <c r="H49" s="192">
        <f t="shared" si="6"/>
        <v>0</v>
      </c>
      <c r="I49" s="192">
        <f t="shared" si="6"/>
        <v>0</v>
      </c>
      <c r="J49" s="192">
        <f t="shared" si="6"/>
        <v>0</v>
      </c>
      <c r="K49" s="192">
        <f t="shared" si="6"/>
        <v>165642</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v>18035</v>
      </c>
      <c r="D51" s="271">
        <v>22000</v>
      </c>
      <c r="E51" s="271">
        <v>187275</v>
      </c>
      <c r="F51" s="271">
        <v>6000</v>
      </c>
      <c r="G51" s="271">
        <v>5000</v>
      </c>
      <c r="H51" s="271">
        <v>17500</v>
      </c>
      <c r="I51" s="271"/>
      <c r="J51" s="271"/>
      <c r="K51" s="189">
        <f>SUM(C51:J51)</f>
        <v>255810</v>
      </c>
    </row>
    <row r="52" spans="1:12" ht="12" x14ac:dyDescent="0.2">
      <c r="A52" s="1013" t="s">
        <v>294</v>
      </c>
      <c r="B52" s="1014">
        <v>2320</v>
      </c>
      <c r="C52" s="271">
        <v>292697</v>
      </c>
      <c r="D52" s="271">
        <v>86154</v>
      </c>
      <c r="E52" s="271">
        <v>14800</v>
      </c>
      <c r="F52" s="271">
        <v>7000</v>
      </c>
      <c r="G52" s="271">
        <v>3000</v>
      </c>
      <c r="H52" s="271">
        <v>4500</v>
      </c>
      <c r="I52" s="271"/>
      <c r="J52" s="271"/>
      <c r="K52" s="189">
        <f>SUM(C52:J52)</f>
        <v>408151</v>
      </c>
    </row>
    <row r="53" spans="1:12" ht="12" x14ac:dyDescent="0.2">
      <c r="A53" s="1013" t="s">
        <v>507</v>
      </c>
      <c r="B53" s="1014">
        <v>2330</v>
      </c>
      <c r="C53" s="271">
        <v>99647</v>
      </c>
      <c r="D53" s="271">
        <v>9341</v>
      </c>
      <c r="E53" s="271">
        <v>9500</v>
      </c>
      <c r="F53" s="271">
        <v>5000</v>
      </c>
      <c r="G53" s="271"/>
      <c r="H53" s="271"/>
      <c r="I53" s="271"/>
      <c r="J53" s="271"/>
      <c r="K53" s="189">
        <f>SUM(C53:J53)</f>
        <v>123488</v>
      </c>
    </row>
    <row r="54" spans="1:12" ht="22.5" x14ac:dyDescent="0.2">
      <c r="A54" s="1240" t="s">
        <v>143</v>
      </c>
      <c r="B54" s="1241" t="s">
        <v>807</v>
      </c>
      <c r="C54" s="271">
        <v>0</v>
      </c>
      <c r="D54" s="271">
        <v>0</v>
      </c>
      <c r="E54" s="271">
        <v>0</v>
      </c>
      <c r="F54" s="271">
        <v>0</v>
      </c>
      <c r="G54" s="271">
        <v>0</v>
      </c>
      <c r="H54" s="271">
        <v>0</v>
      </c>
      <c r="I54" s="271">
        <v>0</v>
      </c>
      <c r="J54" s="271">
        <v>0</v>
      </c>
      <c r="K54" s="286">
        <f>SUM(C54:J54)</f>
        <v>0</v>
      </c>
    </row>
    <row r="55" spans="1:12" ht="12.75" thickBot="1" x14ac:dyDescent="0.25">
      <c r="A55" s="1011" t="s">
        <v>502</v>
      </c>
      <c r="B55" s="983">
        <v>2300</v>
      </c>
      <c r="C55" s="192">
        <f>SUM(C51:C54)</f>
        <v>410379</v>
      </c>
      <c r="D55" s="192">
        <f t="shared" ref="D55:K55" si="7">SUM(D51:D54)</f>
        <v>117495</v>
      </c>
      <c r="E55" s="192">
        <f t="shared" si="7"/>
        <v>211575</v>
      </c>
      <c r="F55" s="192">
        <f t="shared" si="7"/>
        <v>18000</v>
      </c>
      <c r="G55" s="192">
        <f t="shared" si="7"/>
        <v>8000</v>
      </c>
      <c r="H55" s="192">
        <f t="shared" si="7"/>
        <v>22000</v>
      </c>
      <c r="I55" s="192">
        <f t="shared" si="7"/>
        <v>0</v>
      </c>
      <c r="J55" s="192">
        <f t="shared" si="7"/>
        <v>0</v>
      </c>
      <c r="K55" s="192">
        <f t="shared" si="7"/>
        <v>787449</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369817</v>
      </c>
      <c r="D57" s="271">
        <v>99281</v>
      </c>
      <c r="E57" s="271">
        <v>12500</v>
      </c>
      <c r="F57" s="271">
        <v>10000</v>
      </c>
      <c r="G57" s="271"/>
      <c r="H57" s="271">
        <v>1000</v>
      </c>
      <c r="I57" s="271"/>
      <c r="J57" s="271"/>
      <c r="K57" s="189">
        <f>SUM(C57:J57)</f>
        <v>492598</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369817</v>
      </c>
      <c r="D59" s="192">
        <f t="shared" ref="D59:J59" si="8">SUM(D57:D58)</f>
        <v>99281</v>
      </c>
      <c r="E59" s="192">
        <f t="shared" si="8"/>
        <v>12500</v>
      </c>
      <c r="F59" s="192">
        <f t="shared" si="8"/>
        <v>10000</v>
      </c>
      <c r="G59" s="192">
        <f t="shared" si="8"/>
        <v>0</v>
      </c>
      <c r="H59" s="192">
        <f t="shared" si="8"/>
        <v>1000</v>
      </c>
      <c r="I59" s="192">
        <f t="shared" si="8"/>
        <v>0</v>
      </c>
      <c r="J59" s="192">
        <f t="shared" si="8"/>
        <v>0</v>
      </c>
      <c r="K59" s="255">
        <f>SUM(K57:K58)</f>
        <v>492598</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v>139501</v>
      </c>
      <c r="D61" s="271">
        <v>37179</v>
      </c>
      <c r="E61" s="271">
        <v>2500</v>
      </c>
      <c r="F61" s="271"/>
      <c r="G61" s="271"/>
      <c r="H61" s="271">
        <v>2500</v>
      </c>
      <c r="I61" s="271"/>
      <c r="J61" s="271"/>
      <c r="K61" s="189">
        <f t="shared" ref="K61:K66" si="9">SUM(C61:J61)</f>
        <v>181680</v>
      </c>
    </row>
    <row r="62" spans="1:12" ht="12" x14ac:dyDescent="0.2">
      <c r="A62" s="994" t="s">
        <v>362</v>
      </c>
      <c r="B62" s="995">
        <v>2520</v>
      </c>
      <c r="C62" s="271">
        <v>79545</v>
      </c>
      <c r="D62" s="271">
        <v>35453</v>
      </c>
      <c r="E62" s="271">
        <v>20750</v>
      </c>
      <c r="F62" s="271">
        <v>20000</v>
      </c>
      <c r="G62" s="271">
        <v>7500</v>
      </c>
      <c r="H62" s="271">
        <v>13000</v>
      </c>
      <c r="I62" s="271"/>
      <c r="J62" s="271"/>
      <c r="K62" s="189">
        <f t="shared" si="9"/>
        <v>176248</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64947</v>
      </c>
      <c r="D65" s="271">
        <v>103</v>
      </c>
      <c r="E65" s="271">
        <v>86000</v>
      </c>
      <c r="F65" s="271">
        <v>303000</v>
      </c>
      <c r="G65" s="271">
        <v>20000</v>
      </c>
      <c r="H65" s="271"/>
      <c r="I65" s="271"/>
      <c r="J65" s="271"/>
      <c r="K65" s="189">
        <f t="shared" si="9"/>
        <v>474050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283993</v>
      </c>
      <c r="D67" s="287">
        <f t="shared" ref="D67:K67" si="10">SUM(D61:D66)</f>
        <v>72735</v>
      </c>
      <c r="E67" s="287">
        <f t="shared" si="10"/>
        <v>109250</v>
      </c>
      <c r="F67" s="287">
        <f t="shared" si="10"/>
        <v>323000</v>
      </c>
      <c r="G67" s="287">
        <f t="shared" si="10"/>
        <v>27500</v>
      </c>
      <c r="H67" s="287">
        <f t="shared" si="10"/>
        <v>15500</v>
      </c>
      <c r="I67" s="287">
        <f t="shared" si="10"/>
        <v>0</v>
      </c>
      <c r="J67" s="287">
        <f t="shared" si="10"/>
        <v>0</v>
      </c>
      <c r="K67" s="287">
        <f t="shared" si="10"/>
        <v>831978</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v>7161</v>
      </c>
      <c r="F70" s="271"/>
      <c r="G70" s="271"/>
      <c r="H70" s="271"/>
      <c r="I70" s="271"/>
      <c r="J70" s="271"/>
      <c r="K70" s="189">
        <f t="shared" ref="K70:K77" si="11">SUM(C70:J70)</f>
        <v>7161</v>
      </c>
    </row>
    <row r="71" spans="1:12" ht="12" x14ac:dyDescent="0.2">
      <c r="A71" s="994" t="s">
        <v>443</v>
      </c>
      <c r="B71" s="995">
        <v>2630</v>
      </c>
      <c r="C71" s="271"/>
      <c r="D71" s="271"/>
      <c r="E71" s="271">
        <v>1000</v>
      </c>
      <c r="F71" s="271"/>
      <c r="G71" s="271"/>
      <c r="H71" s="271"/>
      <c r="I71" s="271"/>
      <c r="J71" s="271"/>
      <c r="K71" s="189">
        <f t="shared" si="11"/>
        <v>1000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v>120770</v>
      </c>
      <c r="D73" s="271">
        <v>25876</v>
      </c>
      <c r="E73" s="271">
        <v>213290</v>
      </c>
      <c r="F73" s="271">
        <v>20000</v>
      </c>
      <c r="G73" s="271">
        <v>30000</v>
      </c>
      <c r="H73" s="271"/>
      <c r="I73" s="271"/>
      <c r="J73" s="271"/>
      <c r="K73" s="189">
        <f t="shared" si="11"/>
        <v>409936</v>
      </c>
    </row>
    <row r="74" spans="1:12" ht="12.75" thickBot="1" x14ac:dyDescent="0.25">
      <c r="A74" s="1005" t="s">
        <v>505</v>
      </c>
      <c r="B74" s="1008">
        <v>2600</v>
      </c>
      <c r="C74" s="291">
        <f>SUM(C69:C73)</f>
        <v>120770</v>
      </c>
      <c r="D74" s="291">
        <f t="shared" ref="D74:J74" si="12">SUM(D69:D73)</f>
        <v>25876</v>
      </c>
      <c r="E74" s="291">
        <f t="shared" si="12"/>
        <v>221451</v>
      </c>
      <c r="F74" s="291">
        <f t="shared" si="12"/>
        <v>20000</v>
      </c>
      <c r="G74" s="291">
        <f t="shared" si="12"/>
        <v>30000</v>
      </c>
      <c r="H74" s="291">
        <f t="shared" si="12"/>
        <v>0</v>
      </c>
      <c r="I74" s="291">
        <f t="shared" si="12"/>
        <v>0</v>
      </c>
      <c r="J74" s="291">
        <f t="shared" si="12"/>
        <v>0</v>
      </c>
      <c r="K74" s="291">
        <f>SUM(K69:K73)</f>
        <v>418097</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1637247</v>
      </c>
      <c r="D76" s="291">
        <f t="shared" ref="D76:J76" si="13">SUM(D44,D49,D55,D59,D67,D74,D75)</f>
        <v>388188</v>
      </c>
      <c r="E76" s="291">
        <f t="shared" si="13"/>
        <v>893620</v>
      </c>
      <c r="F76" s="291">
        <f t="shared" si="13"/>
        <v>400550</v>
      </c>
      <c r="G76" s="291">
        <f t="shared" si="13"/>
        <v>65500</v>
      </c>
      <c r="H76" s="291">
        <f t="shared" si="13"/>
        <v>38500</v>
      </c>
      <c r="I76" s="291">
        <f t="shared" si="13"/>
        <v>0</v>
      </c>
      <c r="J76" s="291">
        <f t="shared" si="13"/>
        <v>0</v>
      </c>
      <c r="K76" s="293">
        <f t="shared" si="11"/>
        <v>3423605</v>
      </c>
      <c r="L76" s="1032"/>
    </row>
    <row r="77" spans="1:12" s="1017" customFormat="1" ht="13.5" thickTop="1" thickBot="1" x14ac:dyDescent="0.25">
      <c r="A77" s="1003" t="s">
        <v>153</v>
      </c>
      <c r="B77" s="1004">
        <v>3000</v>
      </c>
      <c r="C77" s="271"/>
      <c r="D77" s="271"/>
      <c r="E77" s="271">
        <v>8797</v>
      </c>
      <c r="F77" s="271"/>
      <c r="G77" s="271"/>
      <c r="H77" s="271"/>
      <c r="I77" s="271"/>
      <c r="J77" s="271"/>
      <c r="K77" s="256">
        <f t="shared" si="11"/>
        <v>8797</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v>13000</v>
      </c>
      <c r="F81" s="231"/>
      <c r="G81" s="230"/>
      <c r="H81" s="271">
        <v>280000</v>
      </c>
      <c r="I81" s="231"/>
      <c r="J81" s="231"/>
      <c r="K81" s="189">
        <f t="shared" si="14"/>
        <v>293000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13000</v>
      </c>
      <c r="F86" s="231"/>
      <c r="G86" s="230"/>
      <c r="H86" s="243">
        <f>SUM(H80:H85)</f>
        <v>280000</v>
      </c>
      <c r="I86" s="231"/>
      <c r="J86" s="231"/>
      <c r="K86" s="243">
        <f>SUM(K80:K85)</f>
        <v>293000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c r="I88" s="231"/>
      <c r="J88" s="231"/>
      <c r="K88" s="267">
        <f t="shared" ref="K88:K101" si="15">SUM(C88:J88)</f>
        <v>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0</v>
      </c>
      <c r="I94" s="231"/>
      <c r="J94" s="231"/>
      <c r="K94" s="304">
        <f>SUM(K87:K93)</f>
        <v>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13000</v>
      </c>
      <c r="F104" s="231"/>
      <c r="G104" s="230"/>
      <c r="H104" s="243">
        <f>SUM(H86,H94,H102,H103)</f>
        <v>280000</v>
      </c>
      <c r="I104" s="231"/>
      <c r="J104" s="231"/>
      <c r="K104" s="243">
        <f>SUM(K86,K94,K102,K103)</f>
        <v>293000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5860494</v>
      </c>
      <c r="D116" s="304">
        <f t="shared" ref="D116:K116" si="16">SUM(D34,D76,D77,D104,D114,D115,)</f>
        <v>1117090</v>
      </c>
      <c r="E116" s="304">
        <f t="shared" si="16"/>
        <v>948977</v>
      </c>
      <c r="F116" s="304">
        <f t="shared" si="16"/>
        <v>591314</v>
      </c>
      <c r="G116" s="304">
        <f t="shared" si="16"/>
        <v>295500</v>
      </c>
      <c r="H116" s="304">
        <f t="shared" si="16"/>
        <v>844000</v>
      </c>
      <c r="I116" s="304">
        <f t="shared" si="16"/>
        <v>0</v>
      </c>
      <c r="J116" s="304">
        <f t="shared" si="16"/>
        <v>0</v>
      </c>
      <c r="K116" s="304">
        <f t="shared" si="16"/>
        <v>9657375</v>
      </c>
      <c r="L116" s="1032"/>
    </row>
    <row r="117" spans="1:12" ht="17.25" thickTop="1" thickBot="1" x14ac:dyDescent="0.25">
      <c r="A117" s="982" t="s">
        <v>763</v>
      </c>
      <c r="B117" s="1425"/>
      <c r="C117" s="304">
        <f>SUM(C35,C76,C77,C104,C114,C115,)</f>
        <v>5860494</v>
      </c>
      <c r="D117" s="304">
        <f>SUM(D35,D76,D77,D104,D114,D115,)</f>
        <v>1117090</v>
      </c>
      <c r="E117" s="304">
        <f t="shared" ref="E117:K117" si="17">SUM(E35,E76,E77,E104,E114,E115,)</f>
        <v>948977</v>
      </c>
      <c r="F117" s="304">
        <f t="shared" si="17"/>
        <v>591314</v>
      </c>
      <c r="G117" s="304">
        <f t="shared" si="17"/>
        <v>295500</v>
      </c>
      <c r="H117" s="304">
        <f t="shared" si="17"/>
        <v>844000</v>
      </c>
      <c r="I117" s="304">
        <f t="shared" si="17"/>
        <v>0</v>
      </c>
      <c r="J117" s="304">
        <f t="shared" si="17"/>
        <v>0</v>
      </c>
      <c r="K117" s="304">
        <f t="shared" si="17"/>
        <v>9657375</v>
      </c>
      <c r="L117" s="1032"/>
    </row>
    <row r="118" spans="1:12" ht="24" thickTop="1" thickBot="1" x14ac:dyDescent="0.25">
      <c r="A118" s="1226" t="s">
        <v>1916</v>
      </c>
      <c r="B118" s="1426"/>
      <c r="C118" s="580"/>
      <c r="D118" s="580"/>
      <c r="E118" s="580"/>
      <c r="F118" s="580"/>
      <c r="G118" s="580"/>
      <c r="H118" s="580"/>
      <c r="I118" s="580"/>
      <c r="J118" s="580"/>
      <c r="K118" s="304">
        <f>'EstRev 6-11'!C272-'EstExp 12-20'!K116</f>
        <v>114105</v>
      </c>
    </row>
    <row r="119" spans="1:12" ht="24" thickTop="1" thickBot="1" x14ac:dyDescent="0.25">
      <c r="A119" s="1227" t="s">
        <v>1917</v>
      </c>
      <c r="B119" s="1427"/>
      <c r="C119" s="1404"/>
      <c r="D119" s="369"/>
      <c r="E119" s="369"/>
      <c r="F119" s="369"/>
      <c r="G119" s="369"/>
      <c r="H119" s="369"/>
      <c r="I119" s="369"/>
      <c r="J119" s="1405"/>
      <c r="K119" s="304">
        <f>'EstRev 6-11'!C273-'EstExp 12-20'!K117</f>
        <v>114105</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v>150000</v>
      </c>
      <c r="H127" s="328"/>
      <c r="I127" s="328"/>
      <c r="J127" s="328"/>
      <c r="K127" s="189">
        <f>SUM(C127:J127)</f>
        <v>150000</v>
      </c>
    </row>
    <row r="128" spans="1:12" ht="12" x14ac:dyDescent="0.2">
      <c r="A128" s="1208" t="s">
        <v>363</v>
      </c>
      <c r="B128" s="1209">
        <v>2540</v>
      </c>
      <c r="C128" s="328">
        <v>265661</v>
      </c>
      <c r="D128" s="328">
        <v>45061</v>
      </c>
      <c r="E128" s="328">
        <v>277000</v>
      </c>
      <c r="F128" s="328">
        <v>189500</v>
      </c>
      <c r="G128" s="328">
        <v>259500</v>
      </c>
      <c r="H128" s="328"/>
      <c r="I128" s="328"/>
      <c r="J128" s="328"/>
      <c r="K128" s="189">
        <f>SUM(C128:J128)</f>
        <v>1036722</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265661</v>
      </c>
      <c r="D131" s="319">
        <f>SUM(D126:D129)</f>
        <v>45061</v>
      </c>
      <c r="E131" s="319">
        <f t="shared" ref="E131:K131" si="18">SUM(E126:E130)</f>
        <v>277000</v>
      </c>
      <c r="F131" s="319">
        <f t="shared" si="18"/>
        <v>189500</v>
      </c>
      <c r="G131" s="319">
        <f>SUM(G126:G130)</f>
        <v>409500</v>
      </c>
      <c r="H131" s="319">
        <f>SUM(H126:H130)</f>
        <v>0</v>
      </c>
      <c r="I131" s="319">
        <f t="shared" si="18"/>
        <v>0</v>
      </c>
      <c r="J131" s="319">
        <f t="shared" si="18"/>
        <v>0</v>
      </c>
      <c r="K131" s="319">
        <f t="shared" si="18"/>
        <v>1186722</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265661</v>
      </c>
      <c r="D133" s="320">
        <f t="shared" ref="D133:K133" si="19">SUM(D124,D131,D132)</f>
        <v>45061</v>
      </c>
      <c r="E133" s="320">
        <f t="shared" si="19"/>
        <v>277000</v>
      </c>
      <c r="F133" s="320">
        <f t="shared" si="19"/>
        <v>189500</v>
      </c>
      <c r="G133" s="320">
        <f>SUM(G124,G131,G132)</f>
        <v>409500</v>
      </c>
      <c r="H133" s="320">
        <f>SUM(H124,H131,H132)</f>
        <v>0</v>
      </c>
      <c r="I133" s="320">
        <f t="shared" si="19"/>
        <v>0</v>
      </c>
      <c r="J133" s="320">
        <f t="shared" si="19"/>
        <v>0</v>
      </c>
      <c r="K133" s="320">
        <f t="shared" si="19"/>
        <v>1186722</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265661</v>
      </c>
      <c r="D155" s="339">
        <f t="shared" ref="D155:J155" si="20">SUM(D133,D134,D143,D153,D154)</f>
        <v>45061</v>
      </c>
      <c r="E155" s="339">
        <f>SUM(E133,E134,E143)</f>
        <v>277000</v>
      </c>
      <c r="F155" s="339">
        <f t="shared" si="20"/>
        <v>189500</v>
      </c>
      <c r="G155" s="339">
        <f t="shared" si="20"/>
        <v>409500</v>
      </c>
      <c r="H155" s="339">
        <f>SUM(H133,H134,H143,H153,H154)</f>
        <v>0</v>
      </c>
      <c r="I155" s="339">
        <f t="shared" si="20"/>
        <v>0</v>
      </c>
      <c r="J155" s="339">
        <f t="shared" si="20"/>
        <v>0</v>
      </c>
      <c r="K155" s="333">
        <f>SUM(K133,K134,K143,K153,K154)</f>
        <v>1186722</v>
      </c>
      <c r="L155" s="1032"/>
    </row>
    <row r="156" spans="1:12" ht="14.25" thickTop="1" thickBot="1" x14ac:dyDescent="0.25">
      <c r="A156" s="1181" t="s">
        <v>67</v>
      </c>
      <c r="B156" s="1182"/>
      <c r="C156" s="341"/>
      <c r="D156" s="341"/>
      <c r="E156" s="341"/>
      <c r="F156" s="341"/>
      <c r="G156" s="341"/>
      <c r="H156" s="342"/>
      <c r="I156" s="341"/>
      <c r="J156" s="343"/>
      <c r="K156" s="337">
        <f>'EstRev 6-11'!D272-'EstExp 12-20'!K155</f>
        <v>35869</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v>183960</v>
      </c>
      <c r="I170" s="352"/>
      <c r="J170" s="353"/>
      <c r="K170" s="189">
        <f t="shared" si="21"/>
        <v>183960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183960</v>
      </c>
      <c r="I172" s="352"/>
      <c r="J172" s="353"/>
      <c r="K172" s="363">
        <f>SUM(K167:K171)</f>
        <v>183960</v>
      </c>
    </row>
    <row r="173" spans="1:11" s="1017" customFormat="1" ht="12.75" thickTop="1" x14ac:dyDescent="0.2">
      <c r="A173" s="1165" t="s">
        <v>216</v>
      </c>
      <c r="B173" s="1166">
        <v>5200</v>
      </c>
      <c r="C173" s="352"/>
      <c r="D173" s="352"/>
      <c r="E173" s="352"/>
      <c r="F173" s="352"/>
      <c r="G173" s="358"/>
      <c r="H173" s="364"/>
      <c r="I173" s="365"/>
      <c r="J173" s="353"/>
      <c r="K173" s="189">
        <f t="shared" si="21"/>
        <v>0</v>
      </c>
    </row>
    <row r="174" spans="1:11" ht="26.25" x14ac:dyDescent="0.2">
      <c r="A174" s="1125" t="s">
        <v>1968</v>
      </c>
      <c r="B174" s="1167">
        <v>5300</v>
      </c>
      <c r="C174" s="352"/>
      <c r="D174" s="352"/>
      <c r="E174" s="358"/>
      <c r="F174" s="352"/>
      <c r="G174" s="358"/>
      <c r="H174" s="354">
        <v>245000</v>
      </c>
      <c r="I174" s="352"/>
      <c r="J174" s="353"/>
      <c r="K174" s="189">
        <f t="shared" si="21"/>
        <v>245000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428960</v>
      </c>
      <c r="I176" s="352"/>
      <c r="J176" s="352"/>
      <c r="K176" s="363">
        <f>SUM(K172:K175)</f>
        <v>428960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428960</v>
      </c>
      <c r="I178" s="352"/>
      <c r="J178" s="352"/>
      <c r="K178" s="363">
        <f>SUM(K164,K176,K177)</f>
        <v>428960</v>
      </c>
    </row>
    <row r="179" spans="1:11" ht="13.5" thickTop="1" thickBot="1" x14ac:dyDescent="0.25">
      <c r="A179" s="1762" t="s">
        <v>67</v>
      </c>
      <c r="B179" s="1763"/>
      <c r="C179" s="362"/>
      <c r="D179" s="362"/>
      <c r="E179" s="368"/>
      <c r="F179" s="362"/>
      <c r="G179" s="362"/>
      <c r="H179" s="369"/>
      <c r="I179" s="362"/>
      <c r="J179" s="362"/>
      <c r="K179" s="370">
        <f>'EstRev 6-11'!E272-'EstExp 12-20'!K178</f>
        <v>24106</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193415</v>
      </c>
      <c r="D186" s="378">
        <v>17194</v>
      </c>
      <c r="E186" s="378">
        <v>416000</v>
      </c>
      <c r="F186" s="378">
        <v>59500</v>
      </c>
      <c r="G186" s="378"/>
      <c r="H186" s="378">
        <v>250</v>
      </c>
      <c r="I186" s="378"/>
      <c r="J186" s="378"/>
      <c r="K186" s="189">
        <f>SUM(C186:J186)</f>
        <v>686359</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193415</v>
      </c>
      <c r="D188" s="379">
        <f t="shared" ref="D188:J188" si="22">SUM(D184,D186,D187)</f>
        <v>17194</v>
      </c>
      <c r="E188" s="379">
        <f t="shared" si="22"/>
        <v>416000</v>
      </c>
      <c r="F188" s="379">
        <f t="shared" si="22"/>
        <v>59500</v>
      </c>
      <c r="G188" s="379">
        <f t="shared" si="22"/>
        <v>0</v>
      </c>
      <c r="H188" s="379">
        <f t="shared" si="22"/>
        <v>250</v>
      </c>
      <c r="I188" s="379">
        <f t="shared" si="22"/>
        <v>0</v>
      </c>
      <c r="J188" s="379">
        <f t="shared" si="22"/>
        <v>0</v>
      </c>
      <c r="K188" s="379">
        <f t="shared" ref="K188" si="23">SUM(K184,K186,K187)</f>
        <v>686359</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c r="I209" s="330"/>
      <c r="J209" s="330"/>
      <c r="K209" s="582">
        <f>H209</f>
        <v>0</v>
      </c>
    </row>
    <row r="210" spans="1:11" s="1017" customFormat="1" ht="26.25" x14ac:dyDescent="0.2">
      <c r="A210" s="1125" t="s">
        <v>1968</v>
      </c>
      <c r="B210" s="1414">
        <v>5300</v>
      </c>
      <c r="C210" s="330"/>
      <c r="D210" s="330"/>
      <c r="E210" s="330"/>
      <c r="F210" s="330"/>
      <c r="G210" s="392"/>
      <c r="H210" s="378"/>
      <c r="I210" s="330"/>
      <c r="J210" s="330"/>
      <c r="K210" s="189">
        <f t="shared" si="25"/>
        <v>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0</v>
      </c>
      <c r="I212" s="392"/>
      <c r="J212" s="392"/>
      <c r="K212" s="395">
        <f>SUM(K208:K211)</f>
        <v>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0" t="s">
        <v>439</v>
      </c>
      <c r="B214" s="1761"/>
      <c r="C214" s="393">
        <f>SUM(C188,C189)</f>
        <v>193415</v>
      </c>
      <c r="D214" s="393">
        <f t="shared" ref="D214:K214" si="26">SUM(D188,D189,D200,D212,D213)</f>
        <v>17194</v>
      </c>
      <c r="E214" s="393">
        <f>SUM(E188,E189,E200,E212,E213)</f>
        <v>416000</v>
      </c>
      <c r="F214" s="393">
        <f t="shared" si="26"/>
        <v>59500</v>
      </c>
      <c r="G214" s="393">
        <f t="shared" si="26"/>
        <v>0</v>
      </c>
      <c r="H214" s="393">
        <f>SUM(H188,H189,H200,H212,H213)</f>
        <v>250</v>
      </c>
      <c r="I214" s="393">
        <f>SUM(I188,I189,I200,I212,I213)</f>
        <v>0</v>
      </c>
      <c r="J214" s="393">
        <f t="shared" si="26"/>
        <v>0</v>
      </c>
      <c r="K214" s="393">
        <f t="shared" si="26"/>
        <v>686359</v>
      </c>
    </row>
    <row r="215" spans="1:11" ht="14.25" thickTop="1" thickBot="1" x14ac:dyDescent="0.25">
      <c r="A215" s="1114" t="s">
        <v>67</v>
      </c>
      <c r="B215" s="1432"/>
      <c r="C215" s="397"/>
      <c r="D215" s="397"/>
      <c r="E215" s="397"/>
      <c r="F215" s="397"/>
      <c r="G215" s="397"/>
      <c r="H215" s="397"/>
      <c r="I215" s="397"/>
      <c r="J215" s="398"/>
      <c r="K215" s="395">
        <f>'EstRev 6-11'!F272-'EstExp 12-20'!K214</f>
        <v>71415</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52960</v>
      </c>
      <c r="E219" s="405"/>
      <c r="F219" s="405"/>
      <c r="G219" s="405"/>
      <c r="H219" s="405"/>
      <c r="I219" s="405"/>
      <c r="J219" s="405"/>
      <c r="K219" s="267">
        <f>SUM(C219:J219)</f>
        <v>52960</v>
      </c>
    </row>
    <row r="220" spans="1:11" ht="12" x14ac:dyDescent="0.2">
      <c r="A220" s="1107" t="s">
        <v>279</v>
      </c>
      <c r="B220" s="1108">
        <v>1125</v>
      </c>
      <c r="C220" s="405"/>
      <c r="D220" s="404">
        <v>8763</v>
      </c>
      <c r="E220" s="405"/>
      <c r="F220" s="405"/>
      <c r="G220" s="405"/>
      <c r="H220" s="405"/>
      <c r="I220" s="405"/>
      <c r="J220" s="405"/>
      <c r="K220" s="189">
        <f t="shared" ref="K220:K232" si="27">SUM(C220:J220)</f>
        <v>8763</v>
      </c>
    </row>
    <row r="221" spans="1:11" ht="12" x14ac:dyDescent="0.2">
      <c r="A221" s="1113" t="s">
        <v>486</v>
      </c>
      <c r="B221" s="1108">
        <v>1200</v>
      </c>
      <c r="C221" s="405"/>
      <c r="D221" s="404">
        <v>26392</v>
      </c>
      <c r="E221" s="405"/>
      <c r="F221" s="405"/>
      <c r="G221" s="405"/>
      <c r="H221" s="405"/>
      <c r="I221" s="405"/>
      <c r="J221" s="405"/>
      <c r="K221" s="189">
        <f t="shared" si="27"/>
        <v>26392</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c r="E223" s="405"/>
      <c r="F223" s="405"/>
      <c r="G223" s="405"/>
      <c r="H223" s="405"/>
      <c r="I223" s="405"/>
      <c r="J223" s="405"/>
      <c r="K223" s="189">
        <f t="shared" si="27"/>
        <v>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c r="E227" s="405"/>
      <c r="F227" s="405"/>
      <c r="G227" s="405"/>
      <c r="H227" s="405"/>
      <c r="I227" s="405"/>
      <c r="J227" s="405"/>
      <c r="K227" s="189">
        <f t="shared" si="27"/>
        <v>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c r="E230" s="405"/>
      <c r="F230" s="405"/>
      <c r="G230" s="405"/>
      <c r="H230" s="405"/>
      <c r="I230" s="405"/>
      <c r="J230" s="405"/>
      <c r="K230" s="189">
        <f t="shared" si="27"/>
        <v>0</v>
      </c>
    </row>
    <row r="231" spans="1:11" ht="12" x14ac:dyDescent="0.2">
      <c r="A231" s="1107" t="s">
        <v>114</v>
      </c>
      <c r="B231" s="1108">
        <v>1800</v>
      </c>
      <c r="C231" s="405"/>
      <c r="D231" s="404">
        <v>4619</v>
      </c>
      <c r="E231" s="405"/>
      <c r="F231" s="405"/>
      <c r="G231" s="405"/>
      <c r="H231" s="405"/>
      <c r="I231" s="405"/>
      <c r="J231" s="405"/>
      <c r="K231" s="189">
        <f t="shared" si="27"/>
        <v>4619</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92734</v>
      </c>
      <c r="E233" s="405"/>
      <c r="F233" s="405"/>
      <c r="G233" s="405"/>
      <c r="H233" s="405"/>
      <c r="I233" s="405"/>
      <c r="J233" s="405"/>
      <c r="K233" s="406">
        <f>SUM(K219:K232)</f>
        <v>92734</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v>1462</v>
      </c>
      <c r="E236" s="405"/>
      <c r="F236" s="405"/>
      <c r="G236" s="405"/>
      <c r="H236" s="405"/>
      <c r="I236" s="405"/>
      <c r="J236" s="405"/>
      <c r="K236" s="189">
        <f t="shared" ref="K236:K241" si="28">SUM(C236:J236)</f>
        <v>1462</v>
      </c>
    </row>
    <row r="237" spans="1:11" ht="12" x14ac:dyDescent="0.2">
      <c r="A237" s="1107" t="s">
        <v>131</v>
      </c>
      <c r="B237" s="1108">
        <v>2120</v>
      </c>
      <c r="C237" s="405"/>
      <c r="D237" s="404"/>
      <c r="E237" s="405"/>
      <c r="F237" s="405"/>
      <c r="G237" s="405"/>
      <c r="H237" s="405"/>
      <c r="I237" s="405"/>
      <c r="J237" s="405"/>
      <c r="K237" s="189">
        <f t="shared" si="28"/>
        <v>0</v>
      </c>
    </row>
    <row r="238" spans="1:11" ht="12" x14ac:dyDescent="0.2">
      <c r="A238" s="1107" t="s">
        <v>132</v>
      </c>
      <c r="B238" s="1108">
        <v>2130</v>
      </c>
      <c r="C238" s="405"/>
      <c r="D238" s="404">
        <v>21169</v>
      </c>
      <c r="E238" s="405"/>
      <c r="F238" s="405"/>
      <c r="G238" s="405"/>
      <c r="H238" s="405"/>
      <c r="I238" s="405"/>
      <c r="J238" s="405"/>
      <c r="K238" s="189">
        <f t="shared" si="28"/>
        <v>21169</v>
      </c>
    </row>
    <row r="239" spans="1:11" ht="12" x14ac:dyDescent="0.2">
      <c r="A239" s="1107" t="s">
        <v>133</v>
      </c>
      <c r="B239" s="1108">
        <v>2140</v>
      </c>
      <c r="C239" s="405"/>
      <c r="D239" s="404">
        <v>1257</v>
      </c>
      <c r="E239" s="405"/>
      <c r="F239" s="405"/>
      <c r="G239" s="405"/>
      <c r="H239" s="405"/>
      <c r="I239" s="405"/>
      <c r="J239" s="405"/>
      <c r="K239" s="189">
        <f t="shared" si="28"/>
        <v>1257</v>
      </c>
    </row>
    <row r="240" spans="1:11" ht="12" x14ac:dyDescent="0.2">
      <c r="A240" s="1107" t="s">
        <v>360</v>
      </c>
      <c r="B240" s="1108">
        <v>2150</v>
      </c>
      <c r="C240" s="405"/>
      <c r="D240" s="404">
        <v>959</v>
      </c>
      <c r="E240" s="405"/>
      <c r="F240" s="405"/>
      <c r="G240" s="405"/>
      <c r="H240" s="405"/>
      <c r="I240" s="405"/>
      <c r="J240" s="405"/>
      <c r="K240" s="189">
        <f t="shared" si="28"/>
        <v>959</v>
      </c>
    </row>
    <row r="241" spans="1:11" ht="12" x14ac:dyDescent="0.2">
      <c r="A241" s="1107" t="s">
        <v>694</v>
      </c>
      <c r="B241" s="1108">
        <v>2190</v>
      </c>
      <c r="C241" s="405"/>
      <c r="D241" s="404">
        <v>7247</v>
      </c>
      <c r="E241" s="405"/>
      <c r="F241" s="405"/>
      <c r="G241" s="405"/>
      <c r="H241" s="405"/>
      <c r="I241" s="405"/>
      <c r="J241" s="405"/>
      <c r="K241" s="189">
        <f t="shared" si="28"/>
        <v>7247</v>
      </c>
    </row>
    <row r="242" spans="1:11" ht="12.75" thickBot="1" x14ac:dyDescent="0.25">
      <c r="A242" s="1105" t="s">
        <v>500</v>
      </c>
      <c r="B242" s="983">
        <v>2100</v>
      </c>
      <c r="C242" s="405"/>
      <c r="D242" s="626">
        <f>SUM(D236:D241)</f>
        <v>32094</v>
      </c>
      <c r="E242" s="405"/>
      <c r="F242" s="405"/>
      <c r="G242" s="405"/>
      <c r="H242" s="405"/>
      <c r="I242" s="405"/>
      <c r="J242" s="405"/>
      <c r="K242" s="626">
        <f>SUM(K236:K241)</f>
        <v>32094</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v>20477</v>
      </c>
      <c r="E250" s="410"/>
      <c r="F250" s="410"/>
      <c r="G250" s="410"/>
      <c r="H250" s="410"/>
      <c r="I250" s="410"/>
      <c r="J250" s="410"/>
      <c r="K250" s="189">
        <f t="shared" ref="K250:K253" si="29">SUM(C250:J250)</f>
        <v>20477</v>
      </c>
    </row>
    <row r="251" spans="1:11" ht="12" x14ac:dyDescent="0.2">
      <c r="A251" s="1092" t="s">
        <v>401</v>
      </c>
      <c r="B251" s="1093">
        <v>2330</v>
      </c>
      <c r="C251" s="411"/>
      <c r="D251" s="404">
        <v>5116</v>
      </c>
      <c r="E251" s="410"/>
      <c r="F251" s="410"/>
      <c r="G251" s="410"/>
      <c r="H251" s="410"/>
      <c r="I251" s="410"/>
      <c r="J251" s="410"/>
      <c r="K251" s="189">
        <f t="shared" si="29"/>
        <v>5116</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25593</v>
      </c>
      <c r="E254" s="410"/>
      <c r="F254" s="410"/>
      <c r="G254" s="410"/>
      <c r="H254" s="410"/>
      <c r="I254" s="410"/>
      <c r="J254" s="410"/>
      <c r="K254" s="414">
        <f>K249+K250+K251+K252+K253</f>
        <v>25593</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19118</v>
      </c>
      <c r="E256" s="410"/>
      <c r="F256" s="410"/>
      <c r="G256" s="410"/>
      <c r="H256" s="410"/>
      <c r="I256" s="410"/>
      <c r="J256" s="410"/>
      <c r="K256" s="189">
        <f>SUM(C256:J256)</f>
        <v>19118</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19118</v>
      </c>
      <c r="E258" s="410"/>
      <c r="F258" s="410"/>
      <c r="G258" s="410"/>
      <c r="H258" s="410"/>
      <c r="I258" s="410"/>
      <c r="J258" s="410"/>
      <c r="K258" s="414">
        <f>SUM(K256:K257)</f>
        <v>19118</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v>2026</v>
      </c>
      <c r="E260" s="410"/>
      <c r="F260" s="410"/>
      <c r="G260" s="410"/>
      <c r="H260" s="410"/>
      <c r="I260" s="410"/>
      <c r="J260" s="410"/>
      <c r="K260" s="189">
        <f>SUM(C260:J260)</f>
        <v>2026</v>
      </c>
    </row>
    <row r="261" spans="1:11" ht="12" x14ac:dyDescent="0.2">
      <c r="A261" s="1092" t="s">
        <v>362</v>
      </c>
      <c r="B261" s="1093">
        <v>2520</v>
      </c>
      <c r="C261" s="411"/>
      <c r="D261" s="404">
        <v>13379</v>
      </c>
      <c r="E261" s="410"/>
      <c r="F261" s="410"/>
      <c r="G261" s="410"/>
      <c r="H261" s="410"/>
      <c r="I261" s="410"/>
      <c r="J261" s="410"/>
      <c r="K261" s="189">
        <f t="shared" ref="K261:K266" si="30">SUM(C261:J261)</f>
        <v>13379</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v>39301</v>
      </c>
      <c r="E263" s="416"/>
      <c r="F263" s="416"/>
      <c r="G263" s="416"/>
      <c r="H263" s="416"/>
      <c r="I263" s="416"/>
      <c r="J263" s="416"/>
      <c r="K263" s="189">
        <f t="shared" si="30"/>
        <v>39301</v>
      </c>
    </row>
    <row r="264" spans="1:11" ht="12" x14ac:dyDescent="0.2">
      <c r="A264" s="1088" t="s">
        <v>364</v>
      </c>
      <c r="B264" s="1089">
        <v>2550</v>
      </c>
      <c r="C264" s="415"/>
      <c r="D264" s="404">
        <v>32838</v>
      </c>
      <c r="E264" s="416"/>
      <c r="F264" s="416"/>
      <c r="G264" s="416"/>
      <c r="H264" s="416"/>
      <c r="I264" s="416"/>
      <c r="J264" s="416"/>
      <c r="K264" s="189">
        <f t="shared" si="30"/>
        <v>32838</v>
      </c>
    </row>
    <row r="265" spans="1:11" ht="12" x14ac:dyDescent="0.2">
      <c r="A265" s="1088" t="s">
        <v>365</v>
      </c>
      <c r="B265" s="1089">
        <v>2560</v>
      </c>
      <c r="C265" s="415"/>
      <c r="D265" s="404">
        <v>10924</v>
      </c>
      <c r="E265" s="416"/>
      <c r="F265" s="416"/>
      <c r="G265" s="416"/>
      <c r="H265" s="416"/>
      <c r="I265" s="416"/>
      <c r="J265" s="416"/>
      <c r="K265" s="189">
        <f t="shared" si="30"/>
        <v>10924</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98468</v>
      </c>
      <c r="E267" s="416"/>
      <c r="F267" s="416"/>
      <c r="G267" s="416"/>
      <c r="H267" s="416"/>
      <c r="I267" s="416"/>
      <c r="J267" s="416"/>
      <c r="K267" s="417">
        <f>SUM(K260:K266)</f>
        <v>98468</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v>20322</v>
      </c>
      <c r="E273" s="416"/>
      <c r="F273" s="416"/>
      <c r="G273" s="416"/>
      <c r="H273" s="416"/>
      <c r="I273" s="416"/>
      <c r="J273" s="416"/>
      <c r="K273" s="189">
        <f>SUM(C273:J273)</f>
        <v>20322</v>
      </c>
    </row>
    <row r="274" spans="1:11" ht="12.75" thickBot="1" x14ac:dyDescent="0.25">
      <c r="A274" s="1086" t="s">
        <v>505</v>
      </c>
      <c r="B274" s="1087">
        <v>2600</v>
      </c>
      <c r="C274" s="415"/>
      <c r="D274" s="417">
        <f>SUM(D269:D273)</f>
        <v>20322</v>
      </c>
      <c r="E274" s="416"/>
      <c r="F274" s="416"/>
      <c r="G274" s="416"/>
      <c r="H274" s="416"/>
      <c r="I274" s="416"/>
      <c r="J274" s="416"/>
      <c r="K274" s="417">
        <f>SUM(K269:K273)</f>
        <v>20322</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195595</v>
      </c>
      <c r="E276" s="416"/>
      <c r="F276" s="416"/>
      <c r="G276" s="416"/>
      <c r="H276" s="416"/>
      <c r="I276" s="416"/>
      <c r="J276" s="416"/>
      <c r="K276" s="421">
        <f>SUM(K242,K247,K254,K258,K267,K274,K275)</f>
        <v>195595</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8" t="s">
        <v>439</v>
      </c>
      <c r="B292" s="1759"/>
      <c r="C292" s="423"/>
      <c r="D292" s="430">
        <f>SUM(D233,D276,D277,D282)</f>
        <v>288329</v>
      </c>
      <c r="E292" s="423"/>
      <c r="F292" s="423"/>
      <c r="G292" s="423"/>
      <c r="H292" s="430">
        <f>SUM(H290,H291)</f>
        <v>0</v>
      </c>
      <c r="I292" s="423"/>
      <c r="J292" s="433"/>
      <c r="K292" s="430">
        <f>SUM(K233,K276,K277,K282,K290,K291)</f>
        <v>288329</v>
      </c>
    </row>
    <row r="293" spans="1:11" ht="13.5" thickTop="1" thickBot="1" x14ac:dyDescent="0.25">
      <c r="A293" s="1764" t="s">
        <v>67</v>
      </c>
      <c r="B293" s="1765"/>
      <c r="C293" s="434"/>
      <c r="D293" s="434"/>
      <c r="E293" s="434"/>
      <c r="F293" s="434"/>
      <c r="G293" s="434"/>
      <c r="H293" s="434"/>
      <c r="I293" s="434"/>
      <c r="J293" s="435"/>
      <c r="K293" s="436">
        <f>'EstRev 6-11'!G272-'EstExp 12-20'!K292</f>
        <v>67731</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v>0</v>
      </c>
      <c r="D316" s="429">
        <v>0</v>
      </c>
      <c r="E316" s="429">
        <v>0</v>
      </c>
      <c r="F316" s="429">
        <v>0</v>
      </c>
      <c r="G316" s="429">
        <v>0</v>
      </c>
      <c r="H316" s="429">
        <v>0</v>
      </c>
      <c r="I316" s="429">
        <v>0</v>
      </c>
      <c r="J316" s="429">
        <v>0</v>
      </c>
      <c r="K316" s="267">
        <f>SUM(C316:J316)</f>
        <v>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v>0</v>
      </c>
      <c r="D330" s="429">
        <v>0</v>
      </c>
      <c r="E330" s="429">
        <v>0</v>
      </c>
      <c r="F330" s="429">
        <v>0</v>
      </c>
      <c r="G330" s="429">
        <v>0</v>
      </c>
      <c r="H330" s="429">
        <v>0</v>
      </c>
      <c r="I330" s="429">
        <v>0</v>
      </c>
      <c r="J330" s="429">
        <v>0</v>
      </c>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15200</v>
      </c>
      <c r="F364" s="429"/>
      <c r="G364" s="429"/>
      <c r="H364" s="429"/>
      <c r="I364" s="429"/>
      <c r="J364" s="588"/>
      <c r="K364" s="590">
        <f t="shared" ref="K364" si="37">SUM(C364:J364)</f>
        <v>15200</v>
      </c>
    </row>
    <row r="365" spans="1:11" ht="12.75" thickBot="1" x14ac:dyDescent="0.25">
      <c r="A365" s="1011" t="s">
        <v>502</v>
      </c>
      <c r="B365" s="983">
        <v>2300</v>
      </c>
      <c r="C365" s="192">
        <f t="shared" ref="C365:K365" si="38">SUM(C360:C364)</f>
        <v>0</v>
      </c>
      <c r="D365" s="192">
        <f t="shared" si="38"/>
        <v>0</v>
      </c>
      <c r="E365" s="192">
        <f t="shared" si="38"/>
        <v>15200</v>
      </c>
      <c r="F365" s="192">
        <f t="shared" si="38"/>
        <v>0</v>
      </c>
      <c r="G365" s="192">
        <f t="shared" si="38"/>
        <v>0</v>
      </c>
      <c r="H365" s="192">
        <f t="shared" si="38"/>
        <v>0</v>
      </c>
      <c r="I365" s="192">
        <f t="shared" si="38"/>
        <v>0</v>
      </c>
      <c r="J365" s="192">
        <f t="shared" si="38"/>
        <v>0</v>
      </c>
      <c r="K365" s="192">
        <f t="shared" si="38"/>
        <v>15200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c r="D374" s="429"/>
      <c r="E374" s="429"/>
      <c r="F374" s="429"/>
      <c r="G374" s="429"/>
      <c r="H374" s="429"/>
      <c r="I374" s="429"/>
      <c r="J374" s="429"/>
      <c r="K374" s="189">
        <f t="shared" si="40"/>
        <v>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0</v>
      </c>
      <c r="D387" s="291">
        <f t="shared" si="44"/>
        <v>0</v>
      </c>
      <c r="E387" s="291">
        <f t="shared" si="44"/>
        <v>15200</v>
      </c>
      <c r="F387" s="291">
        <f t="shared" si="44"/>
        <v>0</v>
      </c>
      <c r="G387" s="291">
        <f t="shared" si="44"/>
        <v>0</v>
      </c>
      <c r="H387" s="291">
        <f t="shared" si="44"/>
        <v>0</v>
      </c>
      <c r="I387" s="291">
        <f t="shared" si="44"/>
        <v>0</v>
      </c>
      <c r="J387" s="291">
        <f t="shared" si="44"/>
        <v>0</v>
      </c>
      <c r="K387" s="293">
        <f>SUM(C387:J387)</f>
        <v>15200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2" t="s">
        <v>439</v>
      </c>
      <c r="B428" s="1753"/>
      <c r="C428" s="479">
        <f>SUM(C344+C387+C388)</f>
        <v>0</v>
      </c>
      <c r="D428" s="479">
        <f>SUM(D344+D387+D388)</f>
        <v>0</v>
      </c>
      <c r="E428" s="479">
        <f>SUM(E344+E387+E388+E415+E426)</f>
        <v>15200</v>
      </c>
      <c r="F428" s="479">
        <f>SUM(F344+F387+F388)</f>
        <v>0</v>
      </c>
      <c r="G428" s="479">
        <f>SUM(G344+G387+G388)</f>
        <v>0</v>
      </c>
      <c r="H428" s="479">
        <f>SUM(H344+H387+H388+H415+H426+H427)</f>
        <v>0</v>
      </c>
      <c r="I428" s="479">
        <f>SUM(I344+I387+I388)</f>
        <v>0</v>
      </c>
      <c r="J428" s="479">
        <f>SUM(J344+J387+J388)</f>
        <v>0</v>
      </c>
      <c r="K428" s="479">
        <f>SUM(K344+K387+K388+K415+K426+K427)</f>
        <v>15200</v>
      </c>
    </row>
    <row r="429" spans="1:11" ht="14.25" thickTop="1" thickBot="1" x14ac:dyDescent="0.25">
      <c r="A429" s="1754" t="s">
        <v>67</v>
      </c>
      <c r="B429" s="1755"/>
      <c r="C429" s="1410"/>
      <c r="D429" s="1411"/>
      <c r="E429" s="1411"/>
      <c r="F429" s="1411"/>
      <c r="G429" s="1411"/>
      <c r="H429" s="1411"/>
      <c r="I429" s="1411"/>
      <c r="J429" s="1412"/>
      <c r="K429" s="243">
        <f>'EstRev 6-11'!J272-'EstExp 12-20'!K428</f>
        <v>-14850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c r="I435" s="429"/>
      <c r="J435" s="467"/>
      <c r="K435" s="189">
        <f>SUM(C435:J435)</f>
        <v>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2" t="s">
        <v>439</v>
      </c>
      <c r="B453" s="1753"/>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x14ac:dyDescent="0.25">
      <c r="A454" s="1754" t="s">
        <v>67</v>
      </c>
      <c r="B454" s="1755"/>
      <c r="C454" s="1406"/>
      <c r="D454" s="1407"/>
      <c r="E454" s="1408"/>
      <c r="F454" s="1408"/>
      <c r="G454" s="1408"/>
      <c r="H454" s="1408"/>
      <c r="I454" s="1408"/>
      <c r="J454" s="1409"/>
      <c r="K454" s="944">
        <f>'EstRev 6-11'!K272-'EstExp 12-20'!K453</f>
        <v>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topLeftCell="D12" zoomScaleNormal="100" zoomScaleSheetLayoutView="96" workbookViewId="0">
      <selection activeCell="H32" sqref="H32"/>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7229</v>
      </c>
      <c r="C1" s="1651"/>
      <c r="D1" s="1651"/>
      <c r="E1" s="1651"/>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t="str">
        <f>IF(SUM('EstRev 6-11'!$C$11:$K$11)&gt;0,SUM('EstRev 6-11'!$C$11:$K$11),"")</f>
        <v/>
      </c>
      <c r="D5" s="1594"/>
      <c r="E5" s="1591"/>
      <c r="F5" s="1593" t="s">
        <v>845</v>
      </c>
      <c r="G5" s="1652">
        <f>IF(SUM('EstExp 12-20'!$C$43:$J$43)&gt;0,SUM('EstExp 12-20'!$C$43:$J$43),"")</f>
        <v>62990</v>
      </c>
      <c r="H5" s="1594" t="s">
        <v>7242</v>
      </c>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x14ac:dyDescent="0.2">
      <c r="A10" s="1592" t="str">
        <f t="shared" si="0"/>
        <v>OK</v>
      </c>
      <c r="B10" s="1589">
        <v>1819</v>
      </c>
      <c r="C10" s="1652" t="str">
        <f>IF(SUM('EstRev 6-11'!$C$89:$K$89)&gt;0,SUM('EstRev 6-11'!$C$89:$K$89),"")</f>
        <v/>
      </c>
      <c r="D10" s="1594"/>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t="str">
        <f>IF(SUM('EstRev 6-11'!$C$109:$K$109)&gt;0,SUM('EstRev 6-11'!$C$109:$K$109),"")</f>
        <v/>
      </c>
      <c r="D14" s="1594"/>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f>IF(SUM('EstExp 12-20'!$C$174:$J$174)&gt;0,SUM('EstExp 12-20'!$C$174:$J$174),"")</f>
        <v>245000</v>
      </c>
      <c r="H20" s="1594" t="s">
        <v>7241</v>
      </c>
      <c r="I20" s="1592" t="str">
        <f t="shared" si="1"/>
        <v>OK</v>
      </c>
    </row>
    <row r="21" spans="1:9" ht="15" x14ac:dyDescent="0.2">
      <c r="A21" s="1592" t="str">
        <f t="shared" si="0"/>
        <v>OK</v>
      </c>
      <c r="B21" s="1589">
        <v>3999</v>
      </c>
      <c r="C21" s="1652" t="str">
        <f>IF(SUM('EstRev 6-11'!$C$170:$K$170)&gt;0,SUM('EstRev 6-11'!$C$170:$K$170),"")</f>
        <v/>
      </c>
      <c r="D21" s="1594"/>
      <c r="E21" s="1591"/>
      <c r="F21" s="1593" t="s">
        <v>859</v>
      </c>
      <c r="G21" s="1652" t="str">
        <f>IF(SUM('EstExp 12-20'!$C$175:$J$175)&gt;0,SUM('EstExp 12-20'!$C$175:$J$175),"")</f>
        <v/>
      </c>
      <c r="H21" s="1594"/>
      <c r="I21" s="1592" t="str">
        <f t="shared" si="1"/>
        <v>OK</v>
      </c>
    </row>
    <row r="22" spans="1:9" ht="15" x14ac:dyDescent="0.2">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f>IF(SUM('EstExp 12-20'!$C$241:$J$241)&gt;0,SUM('EstExp 12-20'!$C$241:$J$241),"")</f>
        <v>7247</v>
      </c>
      <c r="H29" s="1594" t="s">
        <v>7243</v>
      </c>
      <c r="I29" s="1592" t="str">
        <f t="shared" si="1"/>
        <v>OK</v>
      </c>
    </row>
    <row r="30" spans="1:9" ht="15" x14ac:dyDescent="0.2">
      <c r="A30" s="1592" t="str">
        <f t="shared" si="0"/>
        <v>OK</v>
      </c>
      <c r="B30" s="1589">
        <v>4998</v>
      </c>
      <c r="C30" s="1652">
        <f>IF(SUM('EstRev 6-11'!$C$269:$K$269)&gt;0,SUM('EstRev 6-11'!$C$269:$K$269),"")</f>
        <v>119380</v>
      </c>
      <c r="D30" s="1594" t="s">
        <v>7240</v>
      </c>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topLeftCell="D1"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6" t="s">
        <v>788</v>
      </c>
      <c r="C1" s="1767"/>
      <c r="D1" s="1767"/>
      <c r="E1" s="1767"/>
      <c r="F1" s="1767"/>
      <c r="G1" s="1768"/>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9771480</v>
      </c>
      <c r="D3" s="485">
        <f>'BudgetSum 2-4'!D9</f>
        <v>1222591</v>
      </c>
      <c r="E3" s="485">
        <f>'BudgetSum 2-4'!F9</f>
        <v>757774</v>
      </c>
      <c r="F3" s="485">
        <f>'BudgetSum 2-4'!I9</f>
        <v>69889</v>
      </c>
      <c r="G3" s="486">
        <f>SUM(C3:F3)</f>
        <v>11821734</v>
      </c>
    </row>
    <row r="4" spans="2:7" s="487" customFormat="1" ht="13.5" thickBot="1" x14ac:dyDescent="0.25">
      <c r="B4" s="484" t="s">
        <v>468</v>
      </c>
      <c r="C4" s="488">
        <f>'BudgetSum 2-4'!C19</f>
        <v>9657375</v>
      </c>
      <c r="D4" s="488">
        <f>'BudgetSum 2-4'!D19</f>
        <v>1186722</v>
      </c>
      <c r="E4" s="488">
        <f>'BudgetSum 2-4'!F19</f>
        <v>686359</v>
      </c>
      <c r="F4" s="489"/>
      <c r="G4" s="490">
        <f>SUM(C4:F4)</f>
        <v>11530456</v>
      </c>
    </row>
    <row r="5" spans="2:7" s="487" customFormat="1" ht="14.25" thickTop="1" thickBot="1" x14ac:dyDescent="0.25">
      <c r="B5" s="491" t="s">
        <v>441</v>
      </c>
      <c r="C5" s="492">
        <f>(C3-C4)</f>
        <v>114105</v>
      </c>
      <c r="D5" s="492">
        <f>(D3-D4)</f>
        <v>35869</v>
      </c>
      <c r="E5" s="492">
        <f>(E3-E4)</f>
        <v>71415</v>
      </c>
      <c r="F5" s="488">
        <f>(F3-F4)</f>
        <v>69889</v>
      </c>
      <c r="G5" s="493">
        <f>SUM(G3-G4)</f>
        <v>291278</v>
      </c>
    </row>
    <row r="6" spans="2:7" s="487" customFormat="1" ht="14.25" thickTop="1" thickBot="1" x14ac:dyDescent="0.25">
      <c r="B6" s="494" t="str">
        <f>"Estimated Fund Balance - June 30, "&amp;'B24'!L2</f>
        <v>Estimated Fund Balance - June 30, 2024</v>
      </c>
      <c r="C6" s="495">
        <f>'BudgetSum 2-4'!C81</f>
        <v>5096295</v>
      </c>
      <c r="D6" s="495">
        <f>'BudgetSum 2-4'!D81</f>
        <v>549937</v>
      </c>
      <c r="E6" s="495">
        <f>'BudgetSum 2-4'!F81</f>
        <v>423309</v>
      </c>
      <c r="F6" s="495">
        <f>'BudgetSum 2-4'!I81</f>
        <v>365392</v>
      </c>
      <c r="G6" s="493">
        <f>SUM(C6:F6)</f>
        <v>6434933</v>
      </c>
    </row>
    <row r="7" spans="2:7" ht="53.1" customHeight="1" thickTop="1" x14ac:dyDescent="0.2">
      <c r="D7" s="1770" t="str">
        <f>IF(Cover!B3="X", "Deficit Reduction Plan is not required", IF(AND(G5&lt;0,G6&gt;=0,ABS(G5*3)&gt;ABS(G6)),B17,IF(AND(G5&lt;0,G6&gt;0,ABS(G5*3)&lt;=ABS(G6)),B18,IF(AND(G5&lt;0,G6&lt;0),B17,IF(G6=0,B20,B19)))))</f>
        <v>Balanced budget; no Deficit Reduction Plan is required.</v>
      </c>
      <c r="E7" s="1771"/>
      <c r="F7" s="1771"/>
      <c r="G7" s="1772"/>
    </row>
    <row r="8" spans="2:7" ht="10.5" customHeight="1" x14ac:dyDescent="0.2">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x14ac:dyDescent="0.2">
      <c r="B9" s="1777" t="s">
        <v>1921</v>
      </c>
      <c r="C9" s="1777"/>
      <c r="D9" s="1777"/>
      <c r="E9" s="1777"/>
      <c r="F9" s="1777"/>
    </row>
    <row r="10" spans="2:7" ht="3.75" customHeight="1" x14ac:dyDescent="0.2">
      <c r="B10" s="496"/>
      <c r="C10" s="497"/>
      <c r="D10" s="497"/>
      <c r="E10" s="497"/>
      <c r="F10" s="497"/>
    </row>
    <row r="11" spans="2:7" ht="27.75" customHeight="1" x14ac:dyDescent="0.2">
      <c r="B11" s="1773" t="s">
        <v>698</v>
      </c>
      <c r="C11" s="1774"/>
      <c r="D11" s="1774"/>
      <c r="E11" s="1774"/>
      <c r="F11" s="1774"/>
      <c r="G11" s="498"/>
    </row>
    <row r="12" spans="2:7" ht="3.75" customHeight="1" x14ac:dyDescent="0.2">
      <c r="B12" s="499"/>
      <c r="C12" s="500"/>
      <c r="D12" s="500"/>
      <c r="E12" s="500"/>
      <c r="F12" s="500"/>
      <c r="G12" s="498"/>
    </row>
    <row r="13" spans="2:7" x14ac:dyDescent="0.2">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x14ac:dyDescent="0.2">
      <c r="B14" s="1778" t="s">
        <v>1920</v>
      </c>
      <c r="C14" s="1778"/>
      <c r="D14" s="1778"/>
      <c r="E14" s="1778"/>
      <c r="F14" s="1778"/>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69" t="s">
        <v>1902</v>
      </c>
      <c r="C17" s="1769"/>
      <c r="D17" s="1769"/>
      <c r="E17" s="1769"/>
      <c r="F17" s="1769"/>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96" t="s">
        <v>219</v>
      </c>
      <c r="D1" s="1797"/>
      <c r="E1" s="1797"/>
      <c r="F1" s="1797"/>
      <c r="G1" s="1798"/>
      <c r="H1" s="1300"/>
      <c r="I1" s="1301"/>
      <c r="J1" s="1301"/>
      <c r="K1" s="1301"/>
      <c r="L1" s="1302"/>
      <c r="M1" s="1303"/>
      <c r="N1" s="1303"/>
      <c r="O1" s="1303"/>
      <c r="P1" s="1303"/>
      <c r="Q1" s="1303"/>
      <c r="R1" s="1300"/>
      <c r="S1" s="1301"/>
      <c r="T1" s="1301"/>
      <c r="U1" s="1301"/>
      <c r="V1" s="1302"/>
      <c r="W1" s="1796" t="s">
        <v>451</v>
      </c>
      <c r="X1" s="1797"/>
      <c r="Y1" s="1797"/>
      <c r="Z1" s="1798"/>
    </row>
    <row r="2" spans="1:26" ht="11.25" customHeight="1" x14ac:dyDescent="0.2">
      <c r="A2" s="1304"/>
      <c r="B2" s="1305"/>
      <c r="C2" s="1791" t="s">
        <v>450</v>
      </c>
      <c r="D2" s="1806"/>
      <c r="E2" s="1806"/>
      <c r="F2" s="1806"/>
      <c r="G2" s="1806"/>
      <c r="H2" s="1801" t="s">
        <v>450</v>
      </c>
      <c r="I2" s="1807"/>
      <c r="J2" s="1807"/>
      <c r="K2" s="1807"/>
      <c r="L2" s="1808"/>
      <c r="M2" s="1791" t="s">
        <v>450</v>
      </c>
      <c r="N2" s="1806"/>
      <c r="O2" s="1806"/>
      <c r="P2" s="1806"/>
      <c r="Q2" s="1806"/>
      <c r="R2" s="1801" t="s">
        <v>450</v>
      </c>
      <c r="S2" s="1795"/>
      <c r="T2" s="1795"/>
      <c r="U2" s="1795"/>
      <c r="V2" s="1802"/>
      <c r="W2" s="1809" t="s">
        <v>452</v>
      </c>
      <c r="X2" s="1806"/>
      <c r="Y2" s="1806"/>
      <c r="Z2" s="1810"/>
    </row>
    <row r="3" spans="1:26" ht="13.5" thickBot="1" x14ac:dyDescent="0.25">
      <c r="A3" s="1306" t="str">
        <f>Cover!H14</f>
        <v>34049037002</v>
      </c>
      <c r="B3" s="1307"/>
      <c r="C3" s="1805" t="str">
        <f>"FY"&amp;'B24'!L2-1&amp;-'B24'!L2</f>
        <v>FY2023-2024</v>
      </c>
      <c r="D3" s="1790"/>
      <c r="E3" s="1790"/>
      <c r="F3" s="1790"/>
      <c r="G3" s="1790"/>
      <c r="H3" s="1792" t="str">
        <f>"FY"&amp;'B24'!L2&amp;-'B24'!L2-1</f>
        <v>FY2024-2025</v>
      </c>
      <c r="I3" s="1793"/>
      <c r="J3" s="1793"/>
      <c r="K3" s="1793"/>
      <c r="L3" s="1794"/>
      <c r="M3" s="1789" t="str">
        <f>"FY"&amp;'B24'!L2+1&amp;-'B24'!L2-2</f>
        <v>FY2025-2026</v>
      </c>
      <c r="N3" s="1790"/>
      <c r="O3" s="1790"/>
      <c r="P3" s="1790"/>
      <c r="Q3" s="1790"/>
      <c r="R3" s="1792" t="str">
        <f>"FY"&amp;'B24'!L2+2&amp;-'B24'!L2-3</f>
        <v>FY2026-2027</v>
      </c>
      <c r="S3" s="1803"/>
      <c r="T3" s="1803"/>
      <c r="U3" s="1803"/>
      <c r="V3" s="1804"/>
      <c r="W3" s="1809" t="s">
        <v>450</v>
      </c>
      <c r="X3" s="1806"/>
      <c r="Y3" s="1806"/>
      <c r="Z3" s="1810"/>
    </row>
    <row r="4" spans="1:26" ht="14.1" customHeight="1" thickBot="1" x14ac:dyDescent="0.25">
      <c r="A4" s="1291" t="s">
        <v>464</v>
      </c>
      <c r="B4" s="1292"/>
      <c r="C4" s="1293"/>
      <c r="D4" s="1293"/>
      <c r="E4" s="1293"/>
      <c r="F4" s="1293"/>
      <c r="G4" s="1293"/>
      <c r="H4" s="1294"/>
      <c r="I4" s="1295"/>
      <c r="J4" s="1795"/>
      <c r="K4" s="1795"/>
      <c r="L4" s="1296"/>
      <c r="M4" s="1297"/>
      <c r="N4" s="1297"/>
      <c r="O4" s="1791"/>
      <c r="P4" s="1791"/>
      <c r="Q4" s="1297"/>
      <c r="R4" s="1294"/>
      <c r="S4" s="1295"/>
      <c r="T4" s="1795"/>
      <c r="U4" s="1795"/>
      <c r="V4" s="1296"/>
      <c r="W4" s="1799" t="s">
        <v>484</v>
      </c>
      <c r="X4" s="1800"/>
      <c r="Y4" s="1308"/>
      <c r="Z4" s="1290"/>
    </row>
    <row r="5" spans="1:26" ht="16.5" customHeight="1" x14ac:dyDescent="0.2">
      <c r="A5" s="1275" t="str">
        <f>Cover!H13</f>
        <v>Gavin SD 37</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87" t="s">
        <v>699</v>
      </c>
      <c r="B7" s="1788"/>
      <c r="C7" s="1272">
        <f>'BudgetSum 2-4'!C3</f>
        <v>4982190</v>
      </c>
      <c r="D7" s="1272">
        <f>'BudgetSum 2-4'!D3</f>
        <v>514068</v>
      </c>
      <c r="E7" s="1272">
        <f>'BudgetSum 2-4'!F3</f>
        <v>351894</v>
      </c>
      <c r="F7" s="1272">
        <f>'BudgetSum 2-4'!I3</f>
        <v>295503</v>
      </c>
      <c r="G7" s="1272">
        <f>SUM(C7:F7)</f>
        <v>6143655</v>
      </c>
      <c r="H7" s="1272">
        <f>C27</f>
        <v>5096295</v>
      </c>
      <c r="I7" s="1272">
        <f>D27</f>
        <v>549937</v>
      </c>
      <c r="J7" s="1272">
        <f>E27</f>
        <v>423309</v>
      </c>
      <c r="K7" s="1272">
        <f>F27</f>
        <v>365392</v>
      </c>
      <c r="L7" s="1272">
        <f>SUM(H7:K7)</f>
        <v>6434933</v>
      </c>
      <c r="M7" s="1272">
        <f>H27</f>
        <v>5096295</v>
      </c>
      <c r="N7" s="1272">
        <f>I27</f>
        <v>549937</v>
      </c>
      <c r="O7" s="1272">
        <f>J27</f>
        <v>423309</v>
      </c>
      <c r="P7" s="1272">
        <f>K27</f>
        <v>365392</v>
      </c>
      <c r="Q7" s="1272">
        <f>SUM(M7:P7)</f>
        <v>6434933</v>
      </c>
      <c r="R7" s="1272">
        <f>M27</f>
        <v>5096295</v>
      </c>
      <c r="S7" s="1272">
        <f>N27</f>
        <v>549937</v>
      </c>
      <c r="T7" s="1272">
        <f>O27</f>
        <v>423309</v>
      </c>
      <c r="U7" s="1272">
        <f>P27</f>
        <v>365392</v>
      </c>
      <c r="V7" s="1272">
        <f>SUM(R7:U7)</f>
        <v>6434933</v>
      </c>
      <c r="W7" s="1272">
        <f>G7</f>
        <v>6143655</v>
      </c>
      <c r="X7" s="1272">
        <f>L7</f>
        <v>6434933</v>
      </c>
      <c r="Y7" s="1272">
        <f>Q7</f>
        <v>6434933</v>
      </c>
      <c r="Z7" s="1272">
        <f>V7</f>
        <v>6434933</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5337244</v>
      </c>
      <c r="D9" s="1259">
        <f>'BudgetSum 2-4'!D5</f>
        <v>880823</v>
      </c>
      <c r="E9" s="1259">
        <f>'BudgetSum 2-4'!F5</f>
        <v>217298</v>
      </c>
      <c r="F9" s="1259">
        <f>'BudgetSum 2-4'!I5</f>
        <v>69889</v>
      </c>
      <c r="G9" s="1259">
        <f>SUM(C9:F9)</f>
        <v>6505254</v>
      </c>
      <c r="H9" s="504"/>
      <c r="I9" s="504"/>
      <c r="J9" s="504"/>
      <c r="K9" s="504"/>
      <c r="L9" s="505">
        <f t="shared" ref="L9:L21" si="0">SUM(H9:K9)</f>
        <v>0</v>
      </c>
      <c r="M9" s="504"/>
      <c r="N9" s="504"/>
      <c r="O9" s="504"/>
      <c r="P9" s="504"/>
      <c r="Q9" s="505">
        <f>SUM(M9:P9)</f>
        <v>0</v>
      </c>
      <c r="R9" s="504"/>
      <c r="S9" s="504"/>
      <c r="T9" s="504"/>
      <c r="U9" s="504"/>
      <c r="V9" s="505">
        <f>SUM(R9:U9)</f>
        <v>0</v>
      </c>
      <c r="W9" s="505">
        <f>G9</f>
        <v>6505254</v>
      </c>
      <c r="X9" s="505">
        <f>L9</f>
        <v>0</v>
      </c>
      <c r="Y9" s="505">
        <f>Q9</f>
        <v>0</v>
      </c>
      <c r="Z9" s="505">
        <f>V9</f>
        <v>0</v>
      </c>
    </row>
    <row r="10" spans="1:26" ht="27" customHeight="1" x14ac:dyDescent="0.2">
      <c r="A10" s="1266" t="s">
        <v>736</v>
      </c>
      <c r="B10" s="1267">
        <v>2000</v>
      </c>
      <c r="C10" s="1272">
        <f>'BudgetSum 2-4'!C6</f>
        <v>100</v>
      </c>
      <c r="D10" s="1272">
        <f>'BudgetSum 2-4'!D6</f>
        <v>0</v>
      </c>
      <c r="E10" s="1272">
        <f>'BudgetSum 2-4'!F6</f>
        <v>0</v>
      </c>
      <c r="F10" s="1273"/>
      <c r="G10" s="1272">
        <f>SUM(C10:F10)</f>
        <v>100</v>
      </c>
      <c r="H10" s="506"/>
      <c r="I10" s="506"/>
      <c r="J10" s="506"/>
      <c r="K10" s="506"/>
      <c r="L10" s="1272">
        <f t="shared" si="0"/>
        <v>0</v>
      </c>
      <c r="M10" s="506"/>
      <c r="N10" s="506"/>
      <c r="O10" s="506"/>
      <c r="P10" s="506"/>
      <c r="Q10" s="1272">
        <f>SUM(M10:P10)</f>
        <v>0</v>
      </c>
      <c r="R10" s="506"/>
      <c r="S10" s="506"/>
      <c r="T10" s="506"/>
      <c r="U10" s="506"/>
      <c r="V10" s="1272">
        <f>SUM(R10:U10)</f>
        <v>0</v>
      </c>
      <c r="W10" s="1272">
        <f>G10</f>
        <v>100</v>
      </c>
      <c r="X10" s="1272">
        <f>L10</f>
        <v>0</v>
      </c>
      <c r="Y10" s="1272">
        <f>Q10</f>
        <v>0</v>
      </c>
      <c r="Z10" s="1272">
        <f>V10</f>
        <v>0</v>
      </c>
    </row>
    <row r="11" spans="1:26" ht="15.75" customHeight="1" x14ac:dyDescent="0.2">
      <c r="A11" s="1266" t="s">
        <v>447</v>
      </c>
      <c r="B11" s="1267">
        <v>3000</v>
      </c>
      <c r="C11" s="505">
        <f>'BudgetSum 2-4'!C7</f>
        <v>3277711</v>
      </c>
      <c r="D11" s="505">
        <f>'BudgetSum 2-4'!D7</f>
        <v>341768</v>
      </c>
      <c r="E11" s="505">
        <f>'BudgetSum 2-4'!F7</f>
        <v>540476</v>
      </c>
      <c r="F11" s="505">
        <f>'BudgetSum 2-4'!I7</f>
        <v>0</v>
      </c>
      <c r="G11" s="505">
        <f>SUM(C11:F11)</f>
        <v>4159955</v>
      </c>
      <c r="H11" s="504"/>
      <c r="I11" s="504"/>
      <c r="J11" s="504"/>
      <c r="K11" s="504"/>
      <c r="L11" s="505">
        <f t="shared" si="0"/>
        <v>0</v>
      </c>
      <c r="M11" s="504"/>
      <c r="N11" s="504"/>
      <c r="O11" s="504"/>
      <c r="P11" s="504"/>
      <c r="Q11" s="505">
        <f>SUM(M11:P11)</f>
        <v>0</v>
      </c>
      <c r="R11" s="504"/>
      <c r="S11" s="504"/>
      <c r="T11" s="504"/>
      <c r="U11" s="504"/>
      <c r="V11" s="505">
        <f>SUM(R11:U11)</f>
        <v>0</v>
      </c>
      <c r="W11" s="505">
        <f>G11</f>
        <v>4159955</v>
      </c>
      <c r="X11" s="505">
        <f>L11</f>
        <v>0</v>
      </c>
      <c r="Y11" s="505">
        <f>Q11</f>
        <v>0</v>
      </c>
      <c r="Z11" s="505">
        <f>V11</f>
        <v>0</v>
      </c>
    </row>
    <row r="12" spans="1:26" ht="15.75" customHeight="1" x14ac:dyDescent="0.2">
      <c r="A12" s="1266" t="s">
        <v>448</v>
      </c>
      <c r="B12" s="1267">
        <v>4000</v>
      </c>
      <c r="C12" s="1274">
        <f>'BudgetSum 2-4'!C8</f>
        <v>1156425</v>
      </c>
      <c r="D12" s="1274">
        <f>'BudgetSum 2-4'!D8</f>
        <v>0</v>
      </c>
      <c r="E12" s="1274">
        <f>'BudgetSum 2-4'!F8</f>
        <v>0</v>
      </c>
      <c r="F12" s="1274">
        <f>'BudgetSum 2-4'!I8</f>
        <v>0</v>
      </c>
      <c r="G12" s="1274">
        <f>SUM(C12:F12)</f>
        <v>1156425</v>
      </c>
      <c r="H12" s="504"/>
      <c r="I12" s="504"/>
      <c r="J12" s="504"/>
      <c r="K12" s="504"/>
      <c r="L12" s="505">
        <f t="shared" si="0"/>
        <v>0</v>
      </c>
      <c r="M12" s="504"/>
      <c r="N12" s="504"/>
      <c r="O12" s="504"/>
      <c r="P12" s="504"/>
      <c r="Q12" s="505">
        <f>SUM(M12:P12)</f>
        <v>0</v>
      </c>
      <c r="R12" s="504"/>
      <c r="S12" s="504"/>
      <c r="T12" s="504"/>
      <c r="U12" s="504"/>
      <c r="V12" s="505">
        <f>SUM(R12:U12)</f>
        <v>0</v>
      </c>
      <c r="W12" s="505">
        <f>G12</f>
        <v>1156425</v>
      </c>
      <c r="X12" s="505">
        <f>L12</f>
        <v>0</v>
      </c>
      <c r="Y12" s="505">
        <f>Q12</f>
        <v>0</v>
      </c>
      <c r="Z12" s="505">
        <f>V12</f>
        <v>0</v>
      </c>
    </row>
    <row r="13" spans="1:26" ht="13.5" thickBot="1" x14ac:dyDescent="0.25">
      <c r="A13" s="1783" t="s">
        <v>446</v>
      </c>
      <c r="B13" s="1784"/>
      <c r="C13" s="507">
        <f>SUM(C9:C12)</f>
        <v>9771480</v>
      </c>
      <c r="D13" s="507">
        <f>SUM(D9:D12)</f>
        <v>1222591</v>
      </c>
      <c r="E13" s="507">
        <f>SUM(E9:E12)</f>
        <v>757774</v>
      </c>
      <c r="F13" s="507">
        <f>SUM(F9:F12)</f>
        <v>69889</v>
      </c>
      <c r="G13" s="507">
        <f>SUM(C13:F13)</f>
        <v>11821734</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11821734</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5931973</v>
      </c>
      <c r="D15" s="1260"/>
      <c r="E15" s="1260"/>
      <c r="F15" s="1260"/>
      <c r="G15" s="505">
        <f t="shared" ref="G15:G21" si="1">SUM(C15:F15)</f>
        <v>5931973</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5931973</v>
      </c>
      <c r="X15" s="505">
        <f t="shared" ref="X15:X22" si="5">L15</f>
        <v>0</v>
      </c>
      <c r="Y15" s="505">
        <f t="shared" ref="Y15:Y22" si="6">Q15</f>
        <v>0</v>
      </c>
      <c r="Z15" s="505">
        <f t="shared" ref="Z15:Z22" si="7">V15</f>
        <v>0</v>
      </c>
    </row>
    <row r="16" spans="1:26" ht="15.75" customHeight="1" x14ac:dyDescent="0.2">
      <c r="A16" s="1266" t="s">
        <v>129</v>
      </c>
      <c r="B16" s="1267">
        <v>2000</v>
      </c>
      <c r="C16" s="505">
        <f>'BudgetSum 2-4'!C14</f>
        <v>3423605</v>
      </c>
      <c r="D16" s="505">
        <f>'BudgetSum 2-4'!D14</f>
        <v>1186722</v>
      </c>
      <c r="E16" s="505">
        <f>'BudgetSum 2-4'!F14</f>
        <v>686359</v>
      </c>
      <c r="F16" s="1260"/>
      <c r="G16" s="505">
        <f t="shared" si="1"/>
        <v>5296686</v>
      </c>
      <c r="H16" s="504"/>
      <c r="I16" s="504"/>
      <c r="J16" s="504"/>
      <c r="K16" s="1260"/>
      <c r="L16" s="505">
        <f t="shared" si="0"/>
        <v>0</v>
      </c>
      <c r="M16" s="504"/>
      <c r="N16" s="504"/>
      <c r="O16" s="504"/>
      <c r="P16" s="1260"/>
      <c r="Q16" s="505">
        <f t="shared" si="2"/>
        <v>0</v>
      </c>
      <c r="R16" s="504"/>
      <c r="S16" s="504"/>
      <c r="T16" s="504"/>
      <c r="U16" s="1261"/>
      <c r="V16" s="505">
        <f t="shared" si="3"/>
        <v>0</v>
      </c>
      <c r="W16" s="505">
        <f t="shared" si="4"/>
        <v>5296686</v>
      </c>
      <c r="X16" s="505">
        <f t="shared" si="5"/>
        <v>0</v>
      </c>
      <c r="Y16" s="505">
        <f t="shared" si="6"/>
        <v>0</v>
      </c>
      <c r="Z16" s="505">
        <f t="shared" si="7"/>
        <v>0</v>
      </c>
    </row>
    <row r="17" spans="1:26" ht="15.75" customHeight="1" x14ac:dyDescent="0.2">
      <c r="A17" s="1266" t="s">
        <v>516</v>
      </c>
      <c r="B17" s="1267">
        <v>3000</v>
      </c>
      <c r="C17" s="505">
        <f>'BudgetSum 2-4'!C15</f>
        <v>8797</v>
      </c>
      <c r="D17" s="505">
        <f>'BudgetSum 2-4'!D15</f>
        <v>0</v>
      </c>
      <c r="E17" s="505">
        <f>'BudgetSum 2-4'!F15</f>
        <v>0</v>
      </c>
      <c r="F17" s="1260"/>
      <c r="G17" s="505">
        <f t="shared" si="1"/>
        <v>8797</v>
      </c>
      <c r="H17" s="504"/>
      <c r="I17" s="504"/>
      <c r="J17" s="504"/>
      <c r="K17" s="1260"/>
      <c r="L17" s="505">
        <f t="shared" si="0"/>
        <v>0</v>
      </c>
      <c r="M17" s="504"/>
      <c r="N17" s="504"/>
      <c r="O17" s="504"/>
      <c r="P17" s="1260"/>
      <c r="Q17" s="505">
        <f t="shared" si="2"/>
        <v>0</v>
      </c>
      <c r="R17" s="504"/>
      <c r="S17" s="504"/>
      <c r="T17" s="504"/>
      <c r="U17" s="1261"/>
      <c r="V17" s="505">
        <f t="shared" si="3"/>
        <v>0</v>
      </c>
      <c r="W17" s="505">
        <f t="shared" si="4"/>
        <v>8797</v>
      </c>
      <c r="X17" s="505">
        <f t="shared" si="5"/>
        <v>0</v>
      </c>
      <c r="Y17" s="505">
        <f t="shared" si="6"/>
        <v>0</v>
      </c>
      <c r="Z17" s="505">
        <f t="shared" si="7"/>
        <v>0</v>
      </c>
    </row>
    <row r="18" spans="1:26" ht="15.75" customHeight="1" x14ac:dyDescent="0.2">
      <c r="A18" s="1266" t="s">
        <v>379</v>
      </c>
      <c r="B18" s="1267">
        <v>4000</v>
      </c>
      <c r="C18" s="505">
        <f>'BudgetSum 2-4'!C16</f>
        <v>293000</v>
      </c>
      <c r="D18" s="505">
        <f>'BudgetSum 2-4'!D16</f>
        <v>0</v>
      </c>
      <c r="E18" s="505">
        <f>'BudgetSum 2-4'!F16</f>
        <v>0</v>
      </c>
      <c r="F18" s="1260"/>
      <c r="G18" s="505">
        <f t="shared" si="1"/>
        <v>293000</v>
      </c>
      <c r="H18" s="504"/>
      <c r="I18" s="504"/>
      <c r="J18" s="504"/>
      <c r="K18" s="1260"/>
      <c r="L18" s="505">
        <f t="shared" si="0"/>
        <v>0</v>
      </c>
      <c r="M18" s="504"/>
      <c r="N18" s="504"/>
      <c r="O18" s="504"/>
      <c r="P18" s="1260"/>
      <c r="Q18" s="505">
        <f t="shared" si="2"/>
        <v>0</v>
      </c>
      <c r="R18" s="504"/>
      <c r="S18" s="504"/>
      <c r="T18" s="504"/>
      <c r="U18" s="1261"/>
      <c r="V18" s="505">
        <f t="shared" si="3"/>
        <v>0</v>
      </c>
      <c r="W18" s="505">
        <f t="shared" si="4"/>
        <v>293000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783" t="s">
        <v>357</v>
      </c>
      <c r="B21" s="1784"/>
      <c r="C21" s="1259">
        <f>SUM(C15:C20)</f>
        <v>9657375</v>
      </c>
      <c r="D21" s="1259">
        <f>SUM(D15:D20)</f>
        <v>1186722</v>
      </c>
      <c r="E21" s="1259">
        <f>SUM(E15:E20)</f>
        <v>686359</v>
      </c>
      <c r="F21" s="1260"/>
      <c r="G21" s="1259">
        <f t="shared" si="1"/>
        <v>11530456</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11530456</v>
      </c>
      <c r="X21" s="507">
        <f t="shared" si="5"/>
        <v>0</v>
      </c>
      <c r="Y21" s="507">
        <f t="shared" si="6"/>
        <v>0</v>
      </c>
      <c r="Z21" s="507">
        <f t="shared" si="7"/>
        <v>0</v>
      </c>
    </row>
    <row r="22" spans="1:26" ht="14.25" thickTop="1" thickBot="1" x14ac:dyDescent="0.25">
      <c r="A22" s="1785" t="s">
        <v>472</v>
      </c>
      <c r="B22" s="1786"/>
      <c r="C22" s="1252">
        <f>SUM(C13-C21)</f>
        <v>114105</v>
      </c>
      <c r="D22" s="1252">
        <f>SUM(D13-D21)</f>
        <v>35869</v>
      </c>
      <c r="E22" s="1252">
        <f>SUM(E13-E21)</f>
        <v>71415</v>
      </c>
      <c r="F22" s="1262">
        <f>SUM(F13-F21)</f>
        <v>69889</v>
      </c>
      <c r="G22" s="1252">
        <f>G13-G21</f>
        <v>291278</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291278</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779" t="s">
        <v>237</v>
      </c>
      <c r="B26" s="1780"/>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781" t="s">
        <v>383</v>
      </c>
      <c r="B27" s="1782"/>
      <c r="C27" s="1253">
        <f>C7+C22+C26</f>
        <v>5096295</v>
      </c>
      <c r="D27" s="1253">
        <f t="shared" ref="D27:U27" si="10">D7+D22+D26</f>
        <v>549937</v>
      </c>
      <c r="E27" s="1253">
        <f t="shared" si="10"/>
        <v>423309</v>
      </c>
      <c r="F27" s="1253">
        <f t="shared" si="10"/>
        <v>365392</v>
      </c>
      <c r="G27" s="1253">
        <f t="shared" si="10"/>
        <v>6434933</v>
      </c>
      <c r="H27" s="1253">
        <f t="shared" si="10"/>
        <v>5096295</v>
      </c>
      <c r="I27" s="1253">
        <f t="shared" si="10"/>
        <v>549937</v>
      </c>
      <c r="J27" s="1253">
        <f t="shared" si="10"/>
        <v>423309</v>
      </c>
      <c r="K27" s="1253">
        <f t="shared" si="10"/>
        <v>365392</v>
      </c>
      <c r="L27" s="1254">
        <f>SUM(H27:K27)</f>
        <v>6434933</v>
      </c>
      <c r="M27" s="1253">
        <f t="shared" si="10"/>
        <v>5096295</v>
      </c>
      <c r="N27" s="1253">
        <f t="shared" si="10"/>
        <v>549937</v>
      </c>
      <c r="O27" s="1253">
        <f t="shared" si="10"/>
        <v>423309</v>
      </c>
      <c r="P27" s="1253">
        <f t="shared" si="10"/>
        <v>365392</v>
      </c>
      <c r="Q27" s="1253">
        <f t="shared" si="10"/>
        <v>6434933</v>
      </c>
      <c r="R27" s="1253">
        <f t="shared" si="10"/>
        <v>5096295</v>
      </c>
      <c r="S27" s="1253">
        <f t="shared" si="10"/>
        <v>549937</v>
      </c>
      <c r="T27" s="1253">
        <f t="shared" si="10"/>
        <v>423309</v>
      </c>
      <c r="U27" s="1253">
        <f t="shared" si="10"/>
        <v>365392</v>
      </c>
      <c r="V27" s="1253">
        <f>V7+V22+V26</f>
        <v>6434933</v>
      </c>
      <c r="W27" s="1253">
        <f>G27</f>
        <v>6434933</v>
      </c>
      <c r="X27" s="1253">
        <f>L27</f>
        <v>6434933</v>
      </c>
      <c r="Y27" s="1253">
        <f>Q27</f>
        <v>6434933</v>
      </c>
      <c r="Z27" s="1253">
        <f>V27</f>
        <v>6434933</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Gavin SD 37              34049037002</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schemas.microsoft.com/office/2006/documentManagement/types"/>
    <ds:schemaRef ds:uri="http://purl.org/dc/terms/"/>
    <ds:schemaRef ds:uri="d21dc803-237d-4c68-8692-8d731fd29118"/>
    <ds:schemaRef ds:uri="http://schemas.microsoft.com/sharepoint/v3"/>
    <ds:schemaRef ds:uri="http://purl.org/dc/dcmitype/"/>
    <ds:schemaRef ds:uri="http://purl.org/dc/elements/1.1/"/>
    <ds:schemaRef ds:uri="http://schemas.microsoft.com/office/infopath/2007/PartnerControls"/>
    <ds:schemaRef ds:uri="http://www.w3.org/XML/1998/namespace"/>
    <ds:schemaRef ds:uri="6ce3111e-7420-4802-b50a-75d4e9a0b980"/>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Staff</cp:lastModifiedBy>
  <cp:lastPrinted>2023-08-31T16:35:52Z</cp:lastPrinted>
  <dcterms:created xsi:type="dcterms:W3CDTF">2001-01-31T16:14:51Z</dcterms:created>
  <dcterms:modified xsi:type="dcterms:W3CDTF">2023-11-30T16:08:26Z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